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Tour economics" sheetId="1" state="visible" r:id="rId3"/>
    <sheet name="Year by ye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<sst xmlns="http://schemas.openxmlformats.org/spreadsheetml/2006/main" count="54" uniqueCount="46">
  <si>
    <t xml:space="preserve">Ostrand Health Analytics: Chicago office tour, ten-year occupancy cost</t>
  </si>
  <si>
    <t xml:space="preserve">Sample deliverable. Buildings, suites and landlord terms are illustrative. Blue cells are inputs; everything else is a formula.</t>
  </si>
  <si>
    <t xml:space="preserve">Term (years)</t>
  </si>
  <si>
    <t xml:space="preserve">Base rent increase per year</t>
  </si>
  <si>
    <t xml:space="preserve">Tax and opex increase per year</t>
  </si>
  <si>
    <t xml:space="preserve">Discount rate</t>
  </si>
  <si>
    <t xml:space="preserve">RSF per seat (test fit)</t>
  </si>
  <si>
    <t xml:space="preserve">Seats needed by year 3</t>
  </si>
  <si>
    <t xml:space="preserve">Stop</t>
  </si>
  <si>
    <t xml:space="preserve">Building</t>
  </si>
  <si>
    <t xml:space="preserve">Submarket</t>
  </si>
  <si>
    <t xml:space="preserve">RSF</t>
  </si>
  <si>
    <t xml:space="preserve">Base rent $/RSF</t>
  </si>
  <si>
    <t xml:space="preserve">Est. taxes $/RSF</t>
  </si>
  <si>
    <t xml:space="preserve">Est. opex $/RSF</t>
  </si>
  <si>
    <t xml:space="preserve">Year-1 gross $/RSF</t>
  </si>
  <si>
    <t xml:space="preserve">Year-1 rent $</t>
  </si>
  <si>
    <t xml:space="preserve">Monthly, year 1 $</t>
  </si>
  <si>
    <t xml:space="preserve">Free base rent (months)</t>
  </si>
  <si>
    <t xml:space="preserve">TI allowance $/RSF</t>
  </si>
  <si>
    <t xml:space="preserve">Est. build cost $/RSF</t>
  </si>
  <si>
    <t xml:space="preserve">Out of pocket for build-out $</t>
  </si>
  <si>
    <t xml:space="preserve">Rent over term, after free rent $</t>
  </si>
  <si>
    <t xml:space="preserve">Ten-year cost $</t>
  </si>
  <si>
    <t xml:space="preserve">Present value at discount rate $</t>
  </si>
  <si>
    <t xml:space="preserve">Effective $/RSF/yr</t>
  </si>
  <si>
    <t xml:space="preserve">Seats (test fit)</t>
  </si>
  <si>
    <t xml:space="preserve">Ten-year cost per seat $</t>
  </si>
  <si>
    <t xml:space="preserve">Fits year-3 headcount?</t>
  </si>
  <si>
    <t xml:space="preserve">The Orleans Loft</t>
  </si>
  <si>
    <t xml:space="preserve">River North</t>
  </si>
  <si>
    <t xml:space="preserve">Morgan Yards</t>
  </si>
  <si>
    <t xml:space="preserve">Fulton Market</t>
  </si>
  <si>
    <t xml:space="preserve">Canal &amp; Randolph Tower</t>
  </si>
  <si>
    <t xml:space="preserve">West Loop</t>
  </si>
  <si>
    <t xml:space="preserve">Clinton Street Works</t>
  </si>
  <si>
    <t xml:space="preserve">Wacker &amp; Monroe Center</t>
  </si>
  <si>
    <t xml:space="preserve">The LaSalle Exchange</t>
  </si>
  <si>
    <t xml:space="preserve">Central Loop</t>
  </si>
  <si>
    <t xml:space="preserve">How to read this</t>
  </si>
  <si>
    <t xml:space="preserve">Taxes and operating expenses are estimates for 2027 based on building age and class. Confirm each with the landlord before an LOI.</t>
  </si>
  <si>
    <t xml:space="preserve">Free rent abates base rent only, in year one. Taxes and operating expenses are paid from day one.</t>
  </si>
  <si>
    <t xml:space="preserve">Build cost is an estimate by suite condition; the out-of-pocket line is the cost the allowance does not cover. Unused allowance is assumed lost.</t>
  </si>
  <si>
    <t xml:space="preserve">Excludes furniture, cabling and moving costs at every stop. The Wacker &amp; Monroe suite comes furnished.</t>
  </si>
  <si>
    <t xml:space="preserve">Rent by year, $ (base rent plus estimated taxes and opex, after free rent)</t>
  </si>
  <si>
    <t xml:space="preserve">Year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</si>
</sst>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%"/>
    <numFmt numFmtId="166" formatCode="#,##0"/>
    <numFmt numFmtId="167" formatCode="\$#,##0.00"/>
    <numFmt numFmtId="168" formatCode="\$#,##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666666"/>
      <name val="Cambria"/>
      <family val="0"/>
      <charset val="1"/>
    </font>
    <font>
      <sz val="11"/>
      <color rgb="FF1F4FBF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color rgb="FF333333"/>
      <name val="Cambria"/>
      <family val="0"/>
      <charset val="1"/>
    </font>
    <font>
      <sz val="11"/>
      <color rgb="FF333333"/>
      <name val="Cambria"/>
      <family val="0"/>
      <charset val="1"/>
    </font>
    <font>
      <b val="true"/>
      <sz val="13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6303D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9CE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ED3"/>
      <rgbColor rgb="FF808080"/>
      <rgbColor rgb="FF9999FF"/>
      <rgbColor rgb="FF993366"/>
      <rgbColor rgb="FFFFFFCC"/>
      <rgbColor rgb="FFCCFFFF"/>
      <rgbColor rgb="FF660066"/>
      <rgbColor rgb="FFFF8080"/>
      <rgbColor rgb="FF1F4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630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1" topLeftCell="C12" activePane="bottomRight" state="frozen"/>
      <selection pane="topLeft" activeCell="A1" activeCellId="0" sqref="A1"/>
      <selection pane="topRight" activeCell="C1" activeCellId="0" sqref="C1"/>
      <selection pane="bottomLeft" activeCell="A12" activeCellId="0" sqref="A1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14"/>
    <col collapsed="false" customWidth="true" hidden="false" outlineLevel="0" max="4" min="4" style="0" width="9"/>
    <col collapsed="false" customWidth="true" hidden="false" outlineLevel="0" max="8" min="5" style="0" width="11"/>
    <col collapsed="false" customWidth="true" hidden="false" outlineLevel="0" max="10" min="9" style="0" width="13"/>
    <col collapsed="false" customWidth="true" hidden="false" outlineLevel="0" max="13" min="11" style="0" width="1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5"/>
    <col collapsed="false" customWidth="true" hidden="false" outlineLevel="0" max="17" min="17" style="0" width="16"/>
    <col collapsed="false" customWidth="true" hidden="false" outlineLevel="0" max="18" min="18" style="0" width="11"/>
    <col collapsed="false" customWidth="true" hidden="false" outlineLevel="0" max="19" min="19" style="0" width="9"/>
    <col collapsed="false" customWidth="true" hidden="false" outlineLevel="0" max="20" min="20" style="0" width="14"/>
    <col collapsed="false" customWidth="true" hidden="false" outlineLevel="0" max="21" min="21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0" t="s">
        <v>2</v>
      </c>
      <c r="B4" s="3" t="n">
        <v>10</v>
      </c>
    </row>
    <row r="5" customFormat="false" ht="15" hidden="false" customHeight="false" outlineLevel="0" collapsed="false">
      <c r="A5" s="0" t="s">
        <v>3</v>
      </c>
      <c r="B5" s="4" t="n">
        <v>0.03</v>
      </c>
    </row>
    <row r="6" customFormat="false" ht="15" hidden="false" customHeight="false" outlineLevel="0" collapsed="false">
      <c r="A6" s="0" t="s">
        <v>4</v>
      </c>
      <c r="B6" s="4" t="n">
        <v>0.03</v>
      </c>
    </row>
    <row r="7" customFormat="false" ht="15" hidden="false" customHeight="false" outlineLevel="0" collapsed="false">
      <c r="A7" s="0" t="s">
        <v>5</v>
      </c>
      <c r="B7" s="4" t="n">
        <v>0.08</v>
      </c>
    </row>
    <row r="8" customFormat="false" ht="15" hidden="false" customHeight="false" outlineLevel="0" collapsed="false">
      <c r="A8" s="0" t="s">
        <v>6</v>
      </c>
      <c r="B8" s="3" t="n">
        <v>140</v>
      </c>
    </row>
    <row r="9" customFormat="false" ht="15" hidden="false" customHeight="false" outlineLevel="0" collapsed="false">
      <c r="A9" s="0" t="s">
        <v>7</v>
      </c>
      <c r="B9" s="3" t="n">
        <v>150</v>
      </c>
    </row>
    <row r="11" customFormat="false" ht="45.75" hidden="false" customHeight="true" outlineLevel="0" collapsed="false">
      <c r="A11" s="5" t="s">
        <v>8</v>
      </c>
      <c r="B11" s="5" t="s">
        <v>9</v>
      </c>
      <c r="C11" s="5" t="s">
        <v>10</v>
      </c>
      <c r="D11" s="5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  <c r="M11" s="5" t="s">
        <v>20</v>
      </c>
      <c r="N11" s="5" t="s">
        <v>21</v>
      </c>
      <c r="O11" s="5" t="s">
        <v>22</v>
      </c>
      <c r="P11" s="5" t="s">
        <v>23</v>
      </c>
      <c r="Q11" s="5" t="s">
        <v>24</v>
      </c>
      <c r="R11" s="5" t="s">
        <v>25</v>
      </c>
      <c r="S11" s="5" t="s">
        <v>26</v>
      </c>
      <c r="T11" s="5" t="s">
        <v>27</v>
      </c>
      <c r="U11" s="5" t="s">
        <v>28</v>
      </c>
    </row>
    <row r="12" customFormat="false" ht="15" hidden="false" customHeight="false" outlineLevel="0" collapsed="false">
      <c r="A12" s="6" t="n">
        <v>1</v>
      </c>
      <c r="B12" s="6" t="s">
        <v>29</v>
      </c>
      <c r="C12" s="6" t="s">
        <v>30</v>
      </c>
      <c r="D12" s="7" t="n">
        <v>19800</v>
      </c>
      <c r="E12" s="8" t="n">
        <v>24</v>
      </c>
      <c r="F12" s="8" t="n">
        <v>9.25</v>
      </c>
      <c r="G12" s="8" t="n">
        <v>11.5</v>
      </c>
      <c r="H12" s="9" t="n">
        <f aca="false">E12+F12+G12</f>
        <v>44.75</v>
      </c>
      <c r="I12" s="10" t="n">
        <f aca="false">H12*D12</f>
        <v>886050</v>
      </c>
      <c r="J12" s="10" t="n">
        <f aca="false">I12/12</f>
        <v>73837.5</v>
      </c>
      <c r="K12" s="11" t="n">
        <v>8</v>
      </c>
      <c r="L12" s="12" t="n">
        <v>80</v>
      </c>
      <c r="M12" s="12" t="n">
        <v>110</v>
      </c>
      <c r="N12" s="10" t="n">
        <f aca="false">MAX(0,M12-L12)*D12</f>
        <v>594000</v>
      </c>
      <c r="O12" s="10" t="n">
        <f aca="false">E12*D12*((1+$B$5)^$B$4-1)/$B$5+(F12+G12)*D12*((1+$B$6)^$B$4-1)/$B$6-E12*D12*MIN(K12,12)/12</f>
        <v>9840770.26392865</v>
      </c>
      <c r="P12" s="10" t="n">
        <f aca="false">O12+N12</f>
        <v>10434770.2639287</v>
      </c>
      <c r="Q12" s="10" t="n">
        <f aca="false">N12+(E12*(1+$B$5)^0+(F12+G12)*(1+$B$6)^0)*D12/(1+$B$7)^0.5+(E12*(1+$B$5)^1+(F12+G12)*(1+$B$6)^1)*D12/(1+$B$7)^1.5+(E12*(1+$B$5)^2+(F12+G12)*(1+$B$6)^2)*D12/(1+$B$7)^2.5+(E12*(1+$B$5)^3+(F12+G12)*(1+$B$6)^3)*D12/(1+$B$7)^3.5+(E12*(1+$B$5)^4+(F12+G12)*(1+$B$6)^4)*D12/(1+$B$7)^4.5+(E12*(1+$B$5)^5+(F12+G12)*(1+$B$6)^5)*D12/(1+$B$7)^5.5+(E12*(1+$B$5)^6+(F12+G12)*(1+$B$6)^6)*D12/(1+$B$7)^6.5+(E12*(1+$B$5)^7+(F12+G12)*(1+$B$6)^7)*D12/(1+$B$7)^7.5+(E12*(1+$B$5)^8+(F12+G12)*(1+$B$6)^8)*D12/(1+$B$7)^8.5+(E12*(1+$B$5)^9+(F12+G12)*(1+$B$6)^9)*D12/(1+$B$7)^9.5-E12*D12*MIN(K12,12)/12/(1+$B$7)^0.5</f>
        <v>7241398.95178795</v>
      </c>
      <c r="R12" s="9" t="n">
        <f aca="false">P12/D12/$B$4</f>
        <v>52.7008599188316</v>
      </c>
      <c r="S12" s="6" t="n">
        <f aca="false">INT(D12/$B$8)</f>
        <v>141</v>
      </c>
      <c r="T12" s="10" t="n">
        <f aca="false">P12/S12</f>
        <v>74005.4628647422</v>
      </c>
      <c r="U12" s="6" t="str">
        <f aca="false">IF(S12&gt;=$B$9,"Yes","No")</f>
        <v>No</v>
      </c>
    </row>
    <row r="13" customFormat="false" ht="15" hidden="false" customHeight="false" outlineLevel="0" collapsed="false">
      <c r="A13" s="6" t="n">
        <v>2</v>
      </c>
      <c r="B13" s="6" t="s">
        <v>31</v>
      </c>
      <c r="C13" s="6" t="s">
        <v>32</v>
      </c>
      <c r="D13" s="7" t="n">
        <v>21450</v>
      </c>
      <c r="E13" s="8" t="n">
        <v>46</v>
      </c>
      <c r="F13" s="8" t="n">
        <v>13.5</v>
      </c>
      <c r="G13" s="8" t="n">
        <v>16.25</v>
      </c>
      <c r="H13" s="9" t="n">
        <f aca="false">E13+F13+G13</f>
        <v>75.75</v>
      </c>
      <c r="I13" s="10" t="n">
        <f aca="false">H13*D13</f>
        <v>1624837.5</v>
      </c>
      <c r="J13" s="10" t="n">
        <f aca="false">I13/12</f>
        <v>135403.125</v>
      </c>
      <c r="K13" s="11" t="n">
        <v>12</v>
      </c>
      <c r="L13" s="12" t="n">
        <v>150</v>
      </c>
      <c r="M13" s="12" t="n">
        <v>175</v>
      </c>
      <c r="N13" s="10" t="n">
        <f aca="false">MAX(0,M13-L13)*D13</f>
        <v>536250</v>
      </c>
      <c r="O13" s="10" t="n">
        <f aca="false">E13*D13*((1+$B$5)^$B$4-1)/$B$5+(F13+G13)*D13*((1+$B$6)^$B$4-1)/$B$6-E13*D13*MIN(K13,12)/12</f>
        <v>17640241.0007518</v>
      </c>
      <c r="P13" s="10" t="n">
        <f aca="false">O13+N13</f>
        <v>18176491.0007518</v>
      </c>
      <c r="Q13" s="10" t="n">
        <f aca="false">N13+(E13*(1+$B$5)^0+(F13+G13)*(1+$B$6)^0)*D13/(1+$B$7)^0.5+(E13*(1+$B$5)^1+(F13+G13)*(1+$B$6)^1)*D13/(1+$B$7)^1.5+(E13*(1+$B$5)^2+(F13+G13)*(1+$B$6)^2)*D13/(1+$B$7)^2.5+(E13*(1+$B$5)^3+(F13+G13)*(1+$B$6)^3)*D13/(1+$B$7)^3.5+(E13*(1+$B$5)^4+(F13+G13)*(1+$B$6)^4)*D13/(1+$B$7)^4.5+(E13*(1+$B$5)^5+(F13+G13)*(1+$B$6)^5)*D13/(1+$B$7)^5.5+(E13*(1+$B$5)^6+(F13+G13)*(1+$B$6)^6)*D13/(1+$B$7)^6.5+(E13*(1+$B$5)^7+(F13+G13)*(1+$B$6)^7)*D13/(1+$B$7)^7.5+(E13*(1+$B$5)^8+(F13+G13)*(1+$B$6)^8)*D13/(1+$B$7)^8.5+(E13*(1+$B$5)^9+(F13+G13)*(1+$B$6)^9)*D13/(1+$B$7)^9.5-E13*D13*MIN(K13,12)/12/(1+$B$7)^0.5</f>
        <v>12335807.2319225</v>
      </c>
      <c r="R13" s="9" t="n">
        <f aca="false">P13/D13/$B$4</f>
        <v>84.7388857843909</v>
      </c>
      <c r="S13" s="6" t="n">
        <f aca="false">INT(D13/$B$8)</f>
        <v>153</v>
      </c>
      <c r="T13" s="10" t="n">
        <f aca="false">P13/S13</f>
        <v>118800.594776156</v>
      </c>
      <c r="U13" s="6" t="str">
        <f aca="false">IF(S13&gt;=$B$9,"Yes","No")</f>
        <v>Yes</v>
      </c>
    </row>
    <row r="14" customFormat="false" ht="15" hidden="false" customHeight="false" outlineLevel="0" collapsed="false">
      <c r="A14" s="6" t="n">
        <v>3</v>
      </c>
      <c r="B14" s="6" t="s">
        <v>33</v>
      </c>
      <c r="C14" s="6" t="s">
        <v>34</v>
      </c>
      <c r="D14" s="7" t="n">
        <v>22300</v>
      </c>
      <c r="E14" s="8" t="n">
        <v>30.5</v>
      </c>
      <c r="F14" s="8" t="n">
        <v>12</v>
      </c>
      <c r="G14" s="8" t="n">
        <v>13.75</v>
      </c>
      <c r="H14" s="9" t="n">
        <f aca="false">E14+F14+G14</f>
        <v>56.25</v>
      </c>
      <c r="I14" s="10" t="n">
        <f aca="false">H14*D14</f>
        <v>1254375</v>
      </c>
      <c r="J14" s="10" t="n">
        <f aca="false">I14/12</f>
        <v>104531.25</v>
      </c>
      <c r="K14" s="11" t="n">
        <v>11</v>
      </c>
      <c r="L14" s="12" t="n">
        <v>120</v>
      </c>
      <c r="M14" s="12" t="n">
        <v>140</v>
      </c>
      <c r="N14" s="10" t="n">
        <f aca="false">MAX(0,M14-L14)*D14</f>
        <v>446000</v>
      </c>
      <c r="O14" s="10" t="n">
        <f aca="false">E14*D14*((1+$B$5)^$B$4-1)/$B$5+(F14+G14)*D14*((1+$B$6)^$B$4-1)/$B$6-E14*D14*MIN(K14,12)/12</f>
        <v>13756532.7779928</v>
      </c>
      <c r="P14" s="10" t="n">
        <f aca="false">O14+N14</f>
        <v>14202532.7779928</v>
      </c>
      <c r="Q14" s="10" t="n">
        <f aca="false">N14+(E14*(1+$B$5)^0+(F14+G14)*(1+$B$6)^0)*D14/(1+$B$7)^0.5+(E14*(1+$B$5)^1+(F14+G14)*(1+$B$6)^1)*D14/(1+$B$7)^1.5+(E14*(1+$B$5)^2+(F14+G14)*(1+$B$6)^2)*D14/(1+$B$7)^2.5+(E14*(1+$B$5)^3+(F14+G14)*(1+$B$6)^3)*D14/(1+$B$7)^3.5+(E14*(1+$B$5)^4+(F14+G14)*(1+$B$6)^4)*D14/(1+$B$7)^4.5+(E14*(1+$B$5)^5+(F14+G14)*(1+$B$6)^5)*D14/(1+$B$7)^5.5+(E14*(1+$B$5)^6+(F14+G14)*(1+$B$6)^6)*D14/(1+$B$7)^6.5+(E14*(1+$B$5)^7+(F14+G14)*(1+$B$6)^7)*D14/(1+$B$7)^7.5+(E14*(1+$B$5)^8+(F14+G14)*(1+$B$6)^8)*D14/(1+$B$7)^8.5+(E14*(1+$B$5)^9+(F14+G14)*(1+$B$6)^9)*D14/(1+$B$7)^9.5-E14*D14*MIN(K14,12)/12/(1+$B$7)^0.5</f>
        <v>9688303.96844821</v>
      </c>
      <c r="R14" s="9" t="n">
        <f aca="false">P14/D14/$B$4</f>
        <v>63.6884877936896</v>
      </c>
      <c r="S14" s="6" t="n">
        <f aca="false">INT(D14/$B$8)</f>
        <v>159</v>
      </c>
      <c r="T14" s="10" t="n">
        <f aca="false">P14/S14</f>
        <v>89324.1055219672</v>
      </c>
      <c r="U14" s="6" t="str">
        <f aca="false">IF(S14&gt;=$B$9,"Yes","No")</f>
        <v>Yes</v>
      </c>
    </row>
    <row r="15" customFormat="false" ht="15" hidden="false" customHeight="false" outlineLevel="0" collapsed="false">
      <c r="A15" s="6" t="n">
        <v>4</v>
      </c>
      <c r="B15" s="6" t="s">
        <v>35</v>
      </c>
      <c r="C15" s="6" t="s">
        <v>34</v>
      </c>
      <c r="D15" s="7" t="n">
        <v>17600</v>
      </c>
      <c r="E15" s="8" t="n">
        <v>19</v>
      </c>
      <c r="F15" s="8" t="n">
        <v>9</v>
      </c>
      <c r="G15" s="8" t="n">
        <v>12.5</v>
      </c>
      <c r="H15" s="9" t="n">
        <f aca="false">E15+F15+G15</f>
        <v>40.5</v>
      </c>
      <c r="I15" s="10" t="n">
        <f aca="false">H15*D15</f>
        <v>712800</v>
      </c>
      <c r="J15" s="10" t="n">
        <f aca="false">I15/12</f>
        <v>59400</v>
      </c>
      <c r="K15" s="11" t="n">
        <v>7</v>
      </c>
      <c r="L15" s="12" t="n">
        <v>70</v>
      </c>
      <c r="M15" s="12" t="n">
        <v>125</v>
      </c>
      <c r="N15" s="10" t="n">
        <f aca="false">MAX(0,M15-L15)*D15</f>
        <v>968000</v>
      </c>
      <c r="O15" s="10" t="n">
        <f aca="false">E15*D15*((1+$B$5)^$B$4-1)/$B$5+(F15+G15)*D15*((1+$B$6)^$B$4-1)/$B$6-E15*D15*MIN(K15,12)/12</f>
        <v>7976386.50654968</v>
      </c>
      <c r="P15" s="10" t="n">
        <f aca="false">O15+N15</f>
        <v>8944386.50654968</v>
      </c>
      <c r="Q15" s="10" t="n">
        <f aca="false">N15+(E15*(1+$B$5)^0+(F15+G15)*(1+$B$6)^0)*D15/(1+$B$7)^0.5+(E15*(1+$B$5)^1+(F15+G15)*(1+$B$6)^1)*D15/(1+$B$7)^1.5+(E15*(1+$B$5)^2+(F15+G15)*(1+$B$6)^2)*D15/(1+$B$7)^2.5+(E15*(1+$B$5)^3+(F15+G15)*(1+$B$6)^3)*D15/(1+$B$7)^3.5+(E15*(1+$B$5)^4+(F15+G15)*(1+$B$6)^4)*D15/(1+$B$7)^4.5+(E15*(1+$B$5)^5+(F15+G15)*(1+$B$6)^5)*D15/(1+$B$7)^5.5+(E15*(1+$B$5)^6+(F15+G15)*(1+$B$6)^6)*D15/(1+$B$7)^6.5+(E15*(1+$B$5)^7+(F15+G15)*(1+$B$6)^7)*D15/(1+$B$7)^7.5+(E15*(1+$B$5)^8+(F15+G15)*(1+$B$6)^8)*D15/(1+$B$7)^8.5+(E15*(1+$B$5)^9+(F15+G15)*(1+$B$6)^9)*D15/(1+$B$7)^9.5-E15*D15*MIN(K15,12)/12/(1+$B$7)^0.5</f>
        <v>6373160.39083257</v>
      </c>
      <c r="R15" s="9" t="n">
        <f aca="false">P15/D15/$B$4</f>
        <v>50.8203778781232</v>
      </c>
      <c r="S15" s="6" t="n">
        <f aca="false">INT(D15/$B$8)</f>
        <v>125</v>
      </c>
      <c r="T15" s="10" t="n">
        <f aca="false">P15/S15</f>
        <v>71555.0920523974</v>
      </c>
      <c r="U15" s="6" t="str">
        <f aca="false">IF(S15&gt;=$B$9,"Yes","No")</f>
        <v>No</v>
      </c>
    </row>
    <row r="16" customFormat="false" ht="15" hidden="false" customHeight="false" outlineLevel="0" collapsed="false">
      <c r="A16" s="6" t="n">
        <v>5</v>
      </c>
      <c r="B16" s="6" t="s">
        <v>36</v>
      </c>
      <c r="C16" s="6" t="s">
        <v>34</v>
      </c>
      <c r="D16" s="7" t="n">
        <v>21200</v>
      </c>
      <c r="E16" s="8" t="n">
        <v>27.5</v>
      </c>
      <c r="F16" s="8" t="n">
        <v>12.25</v>
      </c>
      <c r="G16" s="8" t="n">
        <v>14</v>
      </c>
      <c r="H16" s="9" t="n">
        <f aca="false">E16+F16+G16</f>
        <v>53.75</v>
      </c>
      <c r="I16" s="10" t="n">
        <f aca="false">H16*D16</f>
        <v>1139500</v>
      </c>
      <c r="J16" s="10" t="n">
        <f aca="false">I16/12</f>
        <v>94958.3333333333</v>
      </c>
      <c r="K16" s="11" t="n">
        <v>10</v>
      </c>
      <c r="L16" s="12" t="n">
        <v>15</v>
      </c>
      <c r="M16" s="12" t="n">
        <v>20</v>
      </c>
      <c r="N16" s="10" t="n">
        <f aca="false">MAX(0,M16-L16)*D16</f>
        <v>106000</v>
      </c>
      <c r="O16" s="10" t="n">
        <f aca="false">E16*D16*((1+$B$5)^$B$4-1)/$B$5+(F16+G16)*D16*((1+$B$6)^$B$4-1)/$B$6-E16*D16*MIN(K16,12)/12</f>
        <v>12577257.1420876</v>
      </c>
      <c r="P16" s="10" t="n">
        <f aca="false">O16+N16</f>
        <v>12683257.1420876</v>
      </c>
      <c r="Q16" s="10" t="n">
        <f aca="false">N16+(E16*(1+$B$5)^0+(F16+G16)*(1+$B$6)^0)*D16/(1+$B$7)^0.5+(E16*(1+$B$5)^1+(F16+G16)*(1+$B$6)^1)*D16/(1+$B$7)^1.5+(E16*(1+$B$5)^2+(F16+G16)*(1+$B$6)^2)*D16/(1+$B$7)^2.5+(E16*(1+$B$5)^3+(F16+G16)*(1+$B$6)^3)*D16/(1+$B$7)^3.5+(E16*(1+$B$5)^4+(F16+G16)*(1+$B$6)^4)*D16/(1+$B$7)^4.5+(E16*(1+$B$5)^5+(F16+G16)*(1+$B$6)^5)*D16/(1+$B$7)^5.5+(E16*(1+$B$5)^6+(F16+G16)*(1+$B$6)^6)*D16/(1+$B$7)^6.5+(E16*(1+$B$5)^7+(F16+G16)*(1+$B$6)^7)*D16/(1+$B$7)^7.5+(E16*(1+$B$5)^8+(F16+G16)*(1+$B$6)^8)*D16/(1+$B$7)^8.5+(E16*(1+$B$5)^9+(F16+G16)*(1+$B$6)^9)*D16/(1+$B$7)^9.5-E16*D16*MIN(K16,12)/12/(1+$B$7)^0.5</f>
        <v>8579398.65987743</v>
      </c>
      <c r="R16" s="9" t="n">
        <f aca="false">P16/D16/$B$4</f>
        <v>59.8266846324886</v>
      </c>
      <c r="S16" s="6" t="n">
        <f aca="false">INT(D16/$B$8)</f>
        <v>151</v>
      </c>
      <c r="T16" s="10" t="n">
        <f aca="false">P16/S16</f>
        <v>83995.080411176</v>
      </c>
      <c r="U16" s="6" t="str">
        <f aca="false">IF(S16&gt;=$B$9,"Yes","No")</f>
        <v>Yes</v>
      </c>
    </row>
    <row r="17" customFormat="false" ht="15" hidden="false" customHeight="false" outlineLevel="0" collapsed="false">
      <c r="A17" s="6" t="n">
        <v>6</v>
      </c>
      <c r="B17" s="6" t="s">
        <v>37</v>
      </c>
      <c r="C17" s="6" t="s">
        <v>38</v>
      </c>
      <c r="D17" s="7" t="n">
        <v>24100</v>
      </c>
      <c r="E17" s="8" t="n">
        <v>25</v>
      </c>
      <c r="F17" s="8" t="n">
        <v>11.5</v>
      </c>
      <c r="G17" s="8" t="n">
        <v>13.25</v>
      </c>
      <c r="H17" s="9" t="n">
        <f aca="false">E17+F17+G17</f>
        <v>49.75</v>
      </c>
      <c r="I17" s="10" t="n">
        <f aca="false">H17*D17</f>
        <v>1198975</v>
      </c>
      <c r="J17" s="10" t="n">
        <f aca="false">I17/12</f>
        <v>99914.5833333333</v>
      </c>
      <c r="K17" s="11" t="n">
        <v>12</v>
      </c>
      <c r="L17" s="12" t="n">
        <v>130</v>
      </c>
      <c r="M17" s="12" t="n">
        <v>150</v>
      </c>
      <c r="N17" s="10" t="n">
        <f aca="false">MAX(0,M17-L17)*D17</f>
        <v>482000</v>
      </c>
      <c r="O17" s="10" t="n">
        <f aca="false">E17*D17*((1+$B$5)^$B$4-1)/$B$5+(F17+G17)*D17*((1+$B$6)^$B$4-1)/$B$6-E17*D17*MIN(K17,12)/12</f>
        <v>13142404.6974706</v>
      </c>
      <c r="P17" s="10" t="n">
        <f aca="false">O17+N17</f>
        <v>13624404.6974706</v>
      </c>
      <c r="Q17" s="10" t="n">
        <f aca="false">N17+(E17*(1+$B$5)^0+(F17+G17)*(1+$B$6)^0)*D17/(1+$B$7)^0.5+(E17*(1+$B$5)^1+(F17+G17)*(1+$B$6)^1)*D17/(1+$B$7)^1.5+(E17*(1+$B$5)^2+(F17+G17)*(1+$B$6)^2)*D17/(1+$B$7)^2.5+(E17*(1+$B$5)^3+(F17+G17)*(1+$B$6)^3)*D17/(1+$B$7)^3.5+(E17*(1+$B$5)^4+(F17+G17)*(1+$B$6)^4)*D17/(1+$B$7)^4.5+(E17*(1+$B$5)^5+(F17+G17)*(1+$B$6)^5)*D17/(1+$B$7)^5.5+(E17*(1+$B$5)^6+(F17+G17)*(1+$B$6)^6)*D17/(1+$B$7)^6.5+(E17*(1+$B$5)^7+(F17+G17)*(1+$B$6)^7)*D17/(1+$B$7)^7.5+(E17*(1+$B$5)^8+(F17+G17)*(1+$B$6)^8)*D17/(1+$B$7)^8.5+(E17*(1+$B$5)^9+(F17+G17)*(1+$B$6)^9)*D17/(1+$B$7)^9.5-E17*D17*MIN(K17,12)/12/(1+$B$7)^0.5</f>
        <v>9309796.53041283</v>
      </c>
      <c r="R17" s="9" t="n">
        <f aca="false">P17/D17/$B$4</f>
        <v>56.5327995745669</v>
      </c>
      <c r="S17" s="6" t="n">
        <f aca="false">INT(D17/$B$8)</f>
        <v>172</v>
      </c>
      <c r="T17" s="10" t="n">
        <f aca="false">P17/S17</f>
        <v>79211.6552178525</v>
      </c>
      <c r="U17" s="6" t="str">
        <f aca="false">IF(S17&gt;=$B$9,"Yes","No")</f>
        <v>Yes</v>
      </c>
    </row>
    <row r="19" customFormat="false" ht="15" hidden="false" customHeight="false" outlineLevel="0" collapsed="false">
      <c r="A19" s="13" t="s">
        <v>39</v>
      </c>
    </row>
    <row r="20" customFormat="false" ht="15" hidden="false" customHeight="false" outlineLevel="0" collapsed="false">
      <c r="A20" s="14" t="s">
        <v>40</v>
      </c>
    </row>
    <row r="21" customFormat="false" ht="15" hidden="false" customHeight="false" outlineLevel="0" collapsed="false">
      <c r="A21" s="14" t="s">
        <v>41</v>
      </c>
    </row>
    <row r="22" customFormat="false" ht="15" hidden="false" customHeight="false" outlineLevel="0" collapsed="false">
      <c r="A22" s="14" t="s">
        <v>42</v>
      </c>
    </row>
    <row r="23" customFormat="false" ht="15" hidden="false" customHeight="false" outlineLevel="0" collapsed="false">
      <c r="A23" s="14" t="s">
        <v>43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7" min="2" style="0" width="22"/>
  </cols>
  <sheetData>
    <row r="1" customFormat="false" ht="16.15" hidden="false" customHeight="false" outlineLevel="0" collapsed="false">
      <c r="A1" s="15" t="s">
        <v>44</v>
      </c>
    </row>
    <row r="3" customFormat="false" ht="15" hidden="false" customHeight="false" outlineLevel="0" collapsed="false">
      <c r="A3" s="16" t="s">
        <v>45</v>
      </c>
      <c r="B3" s="16" t="s">
        <v>29</v>
      </c>
      <c r="C3" s="16" t="s">
        <v>31</v>
      </c>
      <c r="D3" s="16" t="s">
        <v>33</v>
      </c>
      <c r="E3" s="16" t="s">
        <v>35</v>
      </c>
      <c r="F3" s="16" t="s">
        <v>36</v>
      </c>
      <c r="G3" s="16" t="s">
        <v>37</v>
      </c>
    </row>
    <row r="4" customFormat="false" ht="15" hidden="false" customHeight="false" outlineLevel="0" collapsed="false">
      <c r="A4" s="0" t="n">
        <v>1</v>
      </c>
      <c r="B4" s="17" t="n">
        <f aca="false">('Tour economics'!E12*(1+'Tour economics'!$B$5)^0+('Tour economics'!F12+'Tour economics'!G12)*(1+'Tour economics'!$B$6)^0)*'Tour economics'!D12-'Tour economics'!E12*'Tour economics'!D12*MIN('Tour economics'!K12,12)/12</f>
        <v>569250</v>
      </c>
      <c r="C4" s="17" t="n">
        <f aca="false">('Tour economics'!E13*(1+'Tour economics'!$B$5)^0+('Tour economics'!F13+'Tour economics'!G13)*(1+'Tour economics'!$B$6)^0)*'Tour economics'!D13-'Tour economics'!E13*'Tour economics'!D13*MIN('Tour economics'!K13,12)/12</f>
        <v>638137.5</v>
      </c>
      <c r="D4" s="17" t="n">
        <f aca="false">('Tour economics'!E14*(1+'Tour economics'!$B$5)^0+('Tour economics'!F14+'Tour economics'!G14)*(1+'Tour economics'!$B$6)^0)*'Tour economics'!D14-'Tour economics'!E14*'Tour economics'!D14*MIN('Tour economics'!K14,12)/12</f>
        <v>630904.166666667</v>
      </c>
      <c r="E4" s="17" t="n">
        <f aca="false">('Tour economics'!E15*(1+'Tour economics'!$B$5)^0+('Tour economics'!F15+'Tour economics'!G15)*(1+'Tour economics'!$B$6)^0)*'Tour economics'!D15-'Tour economics'!E15*'Tour economics'!D15*MIN('Tour economics'!K15,12)/12</f>
        <v>517733.333333333</v>
      </c>
      <c r="F4" s="17" t="n">
        <f aca="false">('Tour economics'!E16*(1+'Tour economics'!$B$5)^0+('Tour economics'!F16+'Tour economics'!G16)*(1+'Tour economics'!$B$6)^0)*'Tour economics'!D16-'Tour economics'!E16*'Tour economics'!D16*MIN('Tour economics'!K16,12)/12</f>
        <v>653666.666666667</v>
      </c>
      <c r="G4" s="17" t="n">
        <f aca="false">('Tour economics'!E17*(1+'Tour economics'!$B$5)^0+('Tour economics'!F17+'Tour economics'!G17)*(1+'Tour economics'!$B$6)^0)*'Tour economics'!D17-'Tour economics'!E17*'Tour economics'!D17*MIN('Tour economics'!K17,12)/12</f>
        <v>596475</v>
      </c>
    </row>
    <row r="5" customFormat="false" ht="15" hidden="false" customHeight="false" outlineLevel="0" collapsed="false">
      <c r="A5" s="0" t="n">
        <v>2</v>
      </c>
      <c r="B5" s="17" t="n">
        <f aca="false">('Tour economics'!E12*(1+'Tour economics'!$B$5)^1+('Tour economics'!F12+'Tour economics'!G12)*(1+'Tour economics'!$B$6)^1)*'Tour economics'!D12</f>
        <v>912631.5</v>
      </c>
      <c r="C5" s="17" t="n">
        <f aca="false">('Tour economics'!E13*(1+'Tour economics'!$B$5)^1+('Tour economics'!F13+'Tour economics'!G13)*(1+'Tour economics'!$B$6)^1)*'Tour economics'!D13</f>
        <v>1673582.625</v>
      </c>
      <c r="D5" s="17" t="n">
        <f aca="false">('Tour economics'!E14*(1+'Tour economics'!$B$5)^1+('Tour economics'!F14+'Tour economics'!G14)*(1+'Tour economics'!$B$6)^1)*'Tour economics'!D14</f>
        <v>1292006.25</v>
      </c>
      <c r="E5" s="17" t="n">
        <f aca="false">('Tour economics'!E15*(1+'Tour economics'!$B$5)^1+('Tour economics'!F15+'Tour economics'!G15)*(1+'Tour economics'!$B$6)^1)*'Tour economics'!D15</f>
        <v>734184</v>
      </c>
      <c r="F5" s="17" t="n">
        <f aca="false">('Tour economics'!E16*(1+'Tour economics'!$B$5)^1+('Tour economics'!F16+'Tour economics'!G16)*(1+'Tour economics'!$B$6)^1)*'Tour economics'!D16</f>
        <v>1173685</v>
      </c>
      <c r="G5" s="17" t="n">
        <f aca="false">('Tour economics'!E17*(1+'Tour economics'!$B$5)^1+('Tour economics'!F17+'Tour economics'!G17)*(1+'Tour economics'!$B$6)^1)*'Tour economics'!D17</f>
        <v>1234944.25</v>
      </c>
    </row>
    <row r="6" customFormat="false" ht="15" hidden="false" customHeight="false" outlineLevel="0" collapsed="false">
      <c r="A6" s="0" t="n">
        <v>3</v>
      </c>
      <c r="B6" s="17" t="n">
        <f aca="false">('Tour economics'!E12*(1+'Tour economics'!$B$5)^2+('Tour economics'!F12+'Tour economics'!G12)*(1+'Tour economics'!$B$6)^2)*'Tour economics'!D12</f>
        <v>940010.445</v>
      </c>
      <c r="C6" s="17" t="n">
        <f aca="false">('Tour economics'!E13*(1+'Tour economics'!$B$5)^2+('Tour economics'!F13+'Tour economics'!G13)*(1+'Tour economics'!$B$6)^2)*'Tour economics'!D13</f>
        <v>1723790.10375</v>
      </c>
      <c r="D6" s="17" t="n">
        <f aca="false">('Tour economics'!E14*(1+'Tour economics'!$B$5)^2+('Tour economics'!F14+'Tour economics'!G14)*(1+'Tour economics'!$B$6)^2)*'Tour economics'!D14</f>
        <v>1330766.4375</v>
      </c>
      <c r="E6" s="17" t="n">
        <f aca="false">('Tour economics'!E15*(1+'Tour economics'!$B$5)^2+('Tour economics'!F15+'Tour economics'!G15)*(1+'Tour economics'!$B$6)^2)*'Tour economics'!D15</f>
        <v>756209.52</v>
      </c>
      <c r="F6" s="17" t="n">
        <f aca="false">('Tour economics'!E16*(1+'Tour economics'!$B$5)^2+('Tour economics'!F16+'Tour economics'!G16)*(1+'Tour economics'!$B$6)^2)*'Tour economics'!D16</f>
        <v>1208895.55</v>
      </c>
      <c r="G6" s="17" t="n">
        <f aca="false">('Tour economics'!E17*(1+'Tour economics'!$B$5)^2+('Tour economics'!F17+'Tour economics'!G17)*(1+'Tour economics'!$B$6)^2)*'Tour economics'!D17</f>
        <v>1271992.5775</v>
      </c>
    </row>
    <row r="7" customFormat="false" ht="15" hidden="false" customHeight="false" outlineLevel="0" collapsed="false">
      <c r="A7" s="0" t="n">
        <v>4</v>
      </c>
      <c r="B7" s="17" t="n">
        <f aca="false">('Tour economics'!E12*(1+'Tour economics'!$B$5)^3+('Tour economics'!F12+'Tour economics'!G12)*(1+'Tour economics'!$B$6)^3)*'Tour economics'!D12</f>
        <v>968210.75835</v>
      </c>
      <c r="C7" s="17" t="n">
        <f aca="false">('Tour economics'!E13*(1+'Tour economics'!$B$5)^3+('Tour economics'!F13+'Tour economics'!G13)*(1+'Tour economics'!$B$6)^3)*'Tour economics'!D13</f>
        <v>1775503.8068625</v>
      </c>
      <c r="D7" s="17" t="n">
        <f aca="false">('Tour economics'!E14*(1+'Tour economics'!$B$5)^3+('Tour economics'!F14+'Tour economics'!G14)*(1+'Tour economics'!$B$6)^3)*'Tour economics'!D14</f>
        <v>1370689.430625</v>
      </c>
      <c r="E7" s="17" t="n">
        <f aca="false">('Tour economics'!E15*(1+'Tour economics'!$B$5)^3+('Tour economics'!F15+'Tour economics'!G15)*(1+'Tour economics'!$B$6)^3)*'Tour economics'!D15</f>
        <v>778895.8056</v>
      </c>
      <c r="F7" s="17" t="n">
        <f aca="false">('Tour economics'!E16*(1+'Tour economics'!$B$5)^3+('Tour economics'!F16+'Tour economics'!G16)*(1+'Tour economics'!$B$6)^3)*'Tour economics'!D16</f>
        <v>1245162.4165</v>
      </c>
      <c r="G7" s="17" t="n">
        <f aca="false">('Tour economics'!E17*(1+'Tour economics'!$B$5)^3+('Tour economics'!F17+'Tour economics'!G17)*(1+'Tour economics'!$B$6)^3)*'Tour economics'!D17</f>
        <v>1310152.354825</v>
      </c>
    </row>
    <row r="8" customFormat="false" ht="15" hidden="false" customHeight="false" outlineLevel="0" collapsed="false">
      <c r="A8" s="0" t="n">
        <v>5</v>
      </c>
      <c r="B8" s="17" t="n">
        <f aca="false">('Tour economics'!E12*(1+'Tour economics'!$B$5)^4+('Tour economics'!F12+'Tour economics'!G12)*(1+'Tour economics'!$B$6)^4)*'Tour economics'!D12</f>
        <v>997257.0811005</v>
      </c>
      <c r="C8" s="17" t="n">
        <f aca="false">('Tour economics'!E13*(1+'Tour economics'!$B$5)^4+('Tour economics'!F13+'Tour economics'!G13)*(1+'Tour economics'!$B$6)^4)*'Tour economics'!D13</f>
        <v>1828768.92106838</v>
      </c>
      <c r="D8" s="17" t="n">
        <f aca="false">('Tour economics'!E14*(1+'Tour economics'!$B$5)^4+('Tour economics'!F14+'Tour economics'!G14)*(1+'Tour economics'!$B$6)^4)*'Tour economics'!D14</f>
        <v>1411810.11354375</v>
      </c>
      <c r="E8" s="17" t="n">
        <f aca="false">('Tour economics'!E15*(1+'Tour economics'!$B$5)^4+('Tour economics'!F15+'Tour economics'!G15)*(1+'Tour economics'!$B$6)^4)*'Tour economics'!D15</f>
        <v>802262.679768</v>
      </c>
      <c r="F8" s="17" t="n">
        <f aca="false">('Tour economics'!E16*(1+'Tour economics'!$B$5)^4+('Tour economics'!F16+'Tour economics'!G16)*(1+'Tour economics'!$B$6)^4)*'Tour economics'!D16</f>
        <v>1282517.288995</v>
      </c>
      <c r="G8" s="17" t="n">
        <f aca="false">('Tour economics'!E17*(1+'Tour economics'!$B$5)^4+('Tour economics'!F17+'Tour economics'!G17)*(1+'Tour economics'!$B$6)^4)*'Tour economics'!D17</f>
        <v>1349456.92546975</v>
      </c>
    </row>
    <row r="9" customFormat="false" ht="15" hidden="false" customHeight="false" outlineLevel="0" collapsed="false">
      <c r="A9" s="0" t="n">
        <v>6</v>
      </c>
      <c r="B9" s="17" t="n">
        <f aca="false">('Tour economics'!E12*(1+'Tour economics'!$B$5)^5+('Tour economics'!F12+'Tour economics'!G12)*(1+'Tour economics'!$B$6)^5)*'Tour economics'!D12</f>
        <v>1027174.79353352</v>
      </c>
      <c r="C9" s="17" t="n">
        <f aca="false">('Tour economics'!E13*(1+'Tour economics'!$B$5)^5+('Tour economics'!F13+'Tour economics'!G13)*(1+'Tour economics'!$B$6)^5)*'Tour economics'!D13</f>
        <v>1883631.98870043</v>
      </c>
      <c r="D9" s="17" t="n">
        <f aca="false">('Tour economics'!E14*(1+'Tour economics'!$B$5)^5+('Tour economics'!F14+'Tour economics'!G14)*(1+'Tour economics'!$B$6)^5)*'Tour economics'!D14</f>
        <v>1454164.41695006</v>
      </c>
      <c r="E9" s="17" t="n">
        <f aca="false">('Tour economics'!E15*(1+'Tour economics'!$B$5)^5+('Tour economics'!F15+'Tour economics'!G15)*(1+'Tour economics'!$B$6)^5)*'Tour economics'!D15</f>
        <v>826330.56016104</v>
      </c>
      <c r="F9" s="17" t="n">
        <f aca="false">('Tour economics'!E16*(1+'Tour economics'!$B$5)^5+('Tour economics'!F16+'Tour economics'!G16)*(1+'Tour economics'!$B$6)^5)*'Tour economics'!D16</f>
        <v>1320992.80766485</v>
      </c>
      <c r="G9" s="17" t="n">
        <f aca="false">('Tour economics'!E17*(1+'Tour economics'!$B$5)^5+('Tour economics'!F17+'Tour economics'!G17)*(1+'Tour economics'!$B$6)^5)*'Tour economics'!D17</f>
        <v>1389940.63323384</v>
      </c>
    </row>
    <row r="10" customFormat="false" ht="15" hidden="false" customHeight="false" outlineLevel="0" collapsed="false">
      <c r="A10" s="0" t="n">
        <v>7</v>
      </c>
      <c r="B10" s="17" t="n">
        <f aca="false">('Tour economics'!E12*(1+'Tour economics'!$B$5)^6+('Tour economics'!F12+'Tour economics'!G12)*(1+'Tour economics'!$B$6)^6)*'Tour economics'!D12</f>
        <v>1057990.03733952</v>
      </c>
      <c r="C10" s="17" t="n">
        <f aca="false">('Tour economics'!E13*(1+'Tour economics'!$B$5)^6+('Tour economics'!F13+'Tour economics'!G13)*(1+'Tour economics'!$B$6)^6)*'Tour economics'!D13</f>
        <v>1940140.94836144</v>
      </c>
      <c r="D10" s="17" t="n">
        <f aca="false">('Tour economics'!E14*(1+'Tour economics'!$B$5)^6+('Tour economics'!F14+'Tour economics'!G14)*(1+'Tour economics'!$B$6)^6)*'Tour economics'!D14</f>
        <v>1497789.34945856</v>
      </c>
      <c r="E10" s="17" t="n">
        <f aca="false">('Tour economics'!E15*(1+'Tour economics'!$B$5)^6+('Tour economics'!F15+'Tour economics'!G15)*(1+'Tour economics'!$B$6)^6)*'Tour economics'!D15</f>
        <v>851120.476965871</v>
      </c>
      <c r="F10" s="17" t="n">
        <f aca="false">('Tour economics'!E16*(1+'Tour economics'!$B$5)^6+('Tour economics'!F16+'Tour economics'!G16)*(1+'Tour economics'!$B$6)^6)*'Tour economics'!D16</f>
        <v>1360622.5918948</v>
      </c>
      <c r="G10" s="17" t="n">
        <f aca="false">('Tour economics'!E17*(1+'Tour economics'!$B$5)^6+('Tour economics'!F17+'Tour economics'!G17)*(1+'Tour economics'!$B$6)^6)*'Tour economics'!D17</f>
        <v>1431638.85223086</v>
      </c>
    </row>
    <row r="11" customFormat="false" ht="15" hidden="false" customHeight="false" outlineLevel="0" collapsed="false">
      <c r="A11" s="0" t="n">
        <v>8</v>
      </c>
      <c r="B11" s="17" t="n">
        <f aca="false">('Tour economics'!E12*(1+'Tour economics'!$B$5)^7+('Tour economics'!F12+'Tour economics'!G12)*(1+'Tour economics'!$B$6)^7)*'Tour economics'!D12</f>
        <v>1089729.73845971</v>
      </c>
      <c r="C11" s="17" t="n">
        <f aca="false">('Tour economics'!E13*(1+'Tour economics'!$B$5)^7+('Tour economics'!F13+'Tour economics'!G13)*(1+'Tour economics'!$B$6)^7)*'Tour economics'!D13</f>
        <v>1998345.17681228</v>
      </c>
      <c r="D11" s="17" t="n">
        <f aca="false">('Tour economics'!E14*(1+'Tour economics'!$B$5)^7+('Tour economics'!F14+'Tour economics'!G14)*(1+'Tour economics'!$B$6)^7)*'Tour economics'!D14</f>
        <v>1542723.02994232</v>
      </c>
      <c r="E11" s="17" t="n">
        <f aca="false">('Tour economics'!E15*(1+'Tour economics'!$B$5)^7+('Tour economics'!F15+'Tour economics'!G15)*(1+'Tour economics'!$B$6)^7)*'Tour economics'!D15</f>
        <v>876654.091274848</v>
      </c>
      <c r="F11" s="17" t="n">
        <f aca="false">('Tour economics'!E16*(1+'Tour economics'!$B$5)^7+('Tour economics'!F16+'Tour economics'!G16)*(1+'Tour economics'!$B$6)^7)*'Tour economics'!D16</f>
        <v>1401441.26965164</v>
      </c>
      <c r="G11" s="17" t="n">
        <f aca="false">('Tour economics'!E17*(1+'Tour economics'!$B$5)^7+('Tour economics'!F17+'Tour economics'!G17)*(1+'Tour economics'!$B$6)^7)*'Tour economics'!D17</f>
        <v>1474588.01779778</v>
      </c>
    </row>
    <row r="12" customFormat="false" ht="15" hidden="false" customHeight="false" outlineLevel="0" collapsed="false">
      <c r="A12" s="0" t="n">
        <v>9</v>
      </c>
      <c r="B12" s="17" t="n">
        <f aca="false">('Tour economics'!E12*(1+'Tour economics'!$B$5)^8+('Tour economics'!F12+'Tour economics'!G12)*(1+'Tour economics'!$B$6)^8)*'Tour economics'!D12</f>
        <v>1122421.6306135</v>
      </c>
      <c r="C12" s="17" t="n">
        <f aca="false">('Tour economics'!E13*(1+'Tour economics'!$B$5)^8+('Tour economics'!F13+'Tour economics'!G13)*(1+'Tour economics'!$B$6)^8)*'Tour economics'!D13</f>
        <v>2058295.53211665</v>
      </c>
      <c r="D12" s="17" t="n">
        <f aca="false">('Tour economics'!E14*(1+'Tour economics'!$B$5)^8+('Tour economics'!F14+'Tour economics'!G14)*(1+'Tour economics'!$B$6)^8)*'Tour economics'!D14</f>
        <v>1589004.72084059</v>
      </c>
      <c r="E12" s="17" t="n">
        <f aca="false">('Tour economics'!E15*(1+'Tour economics'!$B$5)^8+('Tour economics'!F15+'Tour economics'!G15)*(1+'Tour economics'!$B$6)^8)*'Tour economics'!D15</f>
        <v>902953.714013093</v>
      </c>
      <c r="F12" s="17" t="n">
        <f aca="false">('Tour economics'!E16*(1+'Tour economics'!$B$5)^8+('Tour economics'!F16+'Tour economics'!G16)*(1+'Tour economics'!$B$6)^8)*'Tour economics'!D16</f>
        <v>1443484.50774119</v>
      </c>
      <c r="G12" s="17" t="n">
        <f aca="false">('Tour economics'!E17*(1+'Tour economics'!$B$5)^8+('Tour economics'!F17+'Tour economics'!G17)*(1+'Tour economics'!$B$6)^8)*'Tour economics'!D17</f>
        <v>1518825.65833172</v>
      </c>
    </row>
    <row r="13" customFormat="false" ht="15" hidden="false" customHeight="false" outlineLevel="0" collapsed="false">
      <c r="A13" s="0" t="n">
        <v>10</v>
      </c>
      <c r="B13" s="17" t="n">
        <f aca="false">('Tour economics'!E12*(1+'Tour economics'!$B$5)^9+('Tour economics'!F12+'Tour economics'!G12)*(1+'Tour economics'!$B$6)^9)*'Tour economics'!D12</f>
        <v>1156094.2795319</v>
      </c>
      <c r="C13" s="17" t="n">
        <f aca="false">('Tour economics'!E13*(1+'Tour economics'!$B$5)^9+('Tour economics'!F13+'Tour economics'!G13)*(1+'Tour economics'!$B$6)^9)*'Tour economics'!D13</f>
        <v>2120044.39808015</v>
      </c>
      <c r="D13" s="17" t="n">
        <f aca="false">('Tour economics'!E14*(1+'Tour economics'!$B$5)^9+('Tour economics'!F14+'Tour economics'!G14)*(1+'Tour economics'!$B$6)^9)*'Tour economics'!D14</f>
        <v>1636674.86246581</v>
      </c>
      <c r="E13" s="17" t="n">
        <f aca="false">('Tour economics'!E15*(1+'Tour economics'!$B$5)^9+('Tour economics'!F15+'Tour economics'!G15)*(1+'Tour economics'!$B$6)^9)*'Tour economics'!D15</f>
        <v>930042.325433486</v>
      </c>
      <c r="F13" s="17" t="n">
        <f aca="false">('Tour economics'!E16*(1+'Tour economics'!$B$5)^9+('Tour economics'!F16+'Tour economics'!G16)*(1+'Tour economics'!$B$6)^9)*'Tour economics'!D16</f>
        <v>1486789.04297342</v>
      </c>
      <c r="G13" s="17" t="n">
        <f aca="false">('Tour economics'!E17*(1+'Tour economics'!$B$5)^9+('Tour economics'!F17+'Tour economics'!G17)*(1+'Tour economics'!$B$6)^9)*'Tour economics'!D17</f>
        <v>1564390.42808167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2026-10-07T16:57:43Z</dcterms:created>
  <dc:creator>openpyxl</dc:creator>
  <dc:description/>
  <dc:language>en-US</dc:language>
  <cp:lastModifiedBy/>
  <dcterms:modified xsi:type="dcterms:W3CDTF">2026-10-07T16:57:43Z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