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Inputs" sheetId="2" state="visible" r:id="rId4"/>
    <sheet name="Model" sheetId="3" state="visible" r:id="rId5"/>
    <sheet name="Sensitivity" sheetId="4" state="visible" r:id="rId6"/>
    <sheet name="SensCalc" sheetId="5" state="visible" r:id="rId7"/>
    <sheet name="Sources" sheetId="6" state="visible" r:id="rId8"/>
  </sheets>
  <definedNames>
    <definedName function="false" hidden="false" name="amort" vbProcedure="false">Inputs!$C$16</definedName>
    <definedName function="false" hidden="false" name="bank_pct" vbProcedure="false">Inputs!$C$11</definedName>
    <definedName function="false" hidden="false" name="bank_rate" vbProcedure="false">Inputs!$C$14</definedName>
    <definedName function="false" hidden="false" name="base" vbProcedure="false">Inputs!$C$10</definedName>
    <definedName function="false" hidden="false" name="bldg_life" vbProcedure="false">Inputs!$C$24</definedName>
    <definedName function="false" hidden="false" name="bldg_share" vbProcedure="false">Inputs!$C$23</definedName>
    <definedName function="false" hidden="false" name="bonus" vbProcedure="false">Inputs!$C$25</definedName>
    <definedName function="false" hidden="false" name="carry_m" vbProcedure="false">Inputs!$C$32</definedName>
    <definedName function="false" hidden="false" name="cdc_pct" vbProcedure="false">Inputs!$C$12</definedName>
    <definedName function="false" hidden="false" name="cdc_rate" vbProcedure="false">Inputs!$C$15</definedName>
    <definedName function="false" hidden="false" name="close" vbProcedure="false">Inputs!$C$9</definedName>
    <definedName function="false" hidden="false" name="disc" vbProcedure="false">Inputs!$C$27</definedName>
    <definedName function="false" hidden="false" name="eq_pct" vbProcedure="false">Inputs!$C$13</definedName>
    <definedName function="false" hidden="false" name="esc" vbProcedure="false">Inputs!$C$4</definedName>
    <definedName function="false" hidden="false" name="exit_cap" vbProcedure="false">Inputs!$C$28</definedName>
    <definedName function="false" hidden="false" name="exit_grow" vbProcedure="false">Inputs!$C$31</definedName>
    <definedName function="false" hidden="false" name="fit" vbProcedure="false">Inputs!$C$7</definedName>
    <definedName function="false" hidden="false" name="free" vbProcedure="false">Inputs!$C$5</definedName>
    <definedName function="false" hidden="false" name="mktgrow" vbProcedure="false">Inputs!$C$22</definedName>
    <definedName function="false" hidden="false" name="opex" vbProcedure="false">Inputs!$C$17</definedName>
    <definedName function="false" hidden="false" name="opgrow" vbProcedure="false">Inputs!$C$21</definedName>
    <definedName function="false" hidden="false" name="price" vbProcedure="false">Inputs!$C$8</definedName>
    <definedName function="false" hidden="false" name="rent0" vbProcedure="false">Inputs!$C$3</definedName>
    <definedName function="false" hidden="false" name="reserve" vbProcedure="false">Inputs!$C$18</definedName>
    <definedName function="false" hidden="false" name="sale_cost" vbProcedure="false">Inputs!$C$29</definedName>
    <definedName function="false" hidden="false" name="sf" vbProcedure="false">Inputs!$C$2</definedName>
    <definedName function="false" hidden="false" name="slb_esc" vbProcedure="false">Inputs!$C$33</definedName>
    <definedName function="false" hidden="false" name="slb_year" vbProcedure="false">Inputs!$C$34</definedName>
    <definedName function="false" hidden="false" name="tax" vbProcedure="false">Inputs!$C$26</definedName>
    <definedName function="false" hidden="false" name="taxrate" vbProcedure="false">Inputs!$C$20</definedName>
    <definedName function="false" hidden="false" name="taxval" vbProcedure="false">Inputs!$C$19</definedName>
    <definedName function="false" hidden="false" name="ti" vbProcedure="false">Inputs!$C$6</definedName>
    <definedName function="false" hidden="false" name="user_val" vbProcedure="false">Inputs!$C$30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<sst xmlns="http://schemas.openxmlformats.org/spreadsheetml/2006/main" count="1323" uniqueCount="636">
  <si>
    <t xml:space="preserve">Quillfield Software: lease, buy, or buy then sale-leaseback (Austin, 20,000 SF)</t>
  </si>
  <si>
    <t xml:space="preserve">Sample deliverable from Meridian Tenant Advisors. The client, broker and building are fictional; market figures are published data.</t>
  </si>
  <si>
    <t xml:space="preserve">Inputs: every assumption and sourced figure. Blue values are inputs; change them and every sheet recalculates.</t>
  </si>
  <si>
    <t xml:space="preserve">Model: ten-year after-tax cash flows for the three paths, July 2027 to June 2037, and the present values.</t>
  </si>
  <si>
    <t xml:space="preserve">Sensitivity: buy-and-hold saving against leasing by purchase price and 2037 value per SF, by purchase price and loan rates, and sale-leaseback by year and cap.</t>
  </si>
  <si>
    <t xml:space="preserve">SensCalc: the full calculation behind each sensitivity cell (one block per cell).</t>
  </si>
  <si>
    <t xml:space="preserve">Sources: the numbered source list used in the deck. Source numbers in Inputs match it.</t>
  </si>
  <si>
    <t xml:space="preserve">Sign convention: cash out is negative. Present values discount at the Inputs discount rate; year 0 is undiscounted.</t>
  </si>
  <si>
    <t xml:space="preserve">Key</t>
  </si>
  <si>
    <t xml:space="preserve">Input</t>
  </si>
  <si>
    <t xml:space="preserve">Value</t>
  </si>
  <si>
    <t xml:space="preserve">Unit</t>
  </si>
  <si>
    <t xml:space="preserve">Basis</t>
  </si>
  <si>
    <t xml:space="preserve">Source numbers (deck)</t>
  </si>
  <si>
    <t xml:space="preserve">Note</t>
  </si>
  <si>
    <t xml:space="preserve">sf</t>
  </si>
  <si>
    <t xml:space="preserve">Space requirement</t>
  </si>
  <si>
    <t xml:space="preserve">RSF</t>
  </si>
  <si>
    <t xml:space="preserve">Client</t>
  </si>
  <si>
    <t xml:space="preserve">90 people at about 220 SF a head</t>
  </si>
  <si>
    <t xml:space="preserve">rent0</t>
  </si>
  <si>
    <t xml:space="preserve">Lease asking rent, year 1</t>
  </si>
  <si>
    <t xml:space="preserve">$/SF/yr FSG</t>
  </si>
  <si>
    <t xml:space="preserve">Assumption</t>
  </si>
  <si>
    <t xml:space="preserve">Inside Domain/North and Northwest ranges, $35.42 to $45.00 [8, 1, 6, 2]</t>
  </si>
  <si>
    <t xml:space="preserve">esc</t>
  </si>
  <si>
    <t xml:space="preserve">Lease rent escalation</t>
  </si>
  <si>
    <t xml:space="preserve">per year</t>
  </si>
  <si>
    <t xml:space="preserve">Fixed annual bump</t>
  </si>
  <si>
    <t xml:space="preserve">free</t>
  </si>
  <si>
    <t xml:space="preserve">Free rent</t>
  </si>
  <si>
    <t xml:space="preserve">months, year 1</t>
  </si>
  <si>
    <t xml:space="preserve">12-market average 8.9 months, 2024 [101]</t>
  </si>
  <si>
    <t xml:space="preserve">ti</t>
  </si>
  <si>
    <t xml:space="preserve">Tenant improvement allowance</t>
  </si>
  <si>
    <t xml:space="preserve">$/SF</t>
  </si>
  <si>
    <t xml:space="preserve">12-market average $87.51, 2024 [101]</t>
  </si>
  <si>
    <t xml:space="preserve">fit</t>
  </si>
  <si>
    <t xml:space="preserve">Fit-out cost, second-generation space</t>
  </si>
  <si>
    <t xml:space="preserve">Sourced</t>
  </si>
  <si>
    <t xml:space="preserve">[56] Cushman &amp; Wakefield</t>
  </si>
  <si>
    <t xml:space="preserve">Austin $156.31/SF, less 12.5% for second generation</t>
  </si>
  <si>
    <t xml:space="preserve">price</t>
  </si>
  <si>
    <t xml:space="preserve">Purchase price</t>
  </si>
  <si>
    <t xml:space="preserve">Comps near this size: $159 to $196.50 [23, 59, 6]</t>
  </si>
  <si>
    <t xml:space="preserve">close</t>
  </si>
  <si>
    <t xml:space="preserve">Closing costs</t>
  </si>
  <si>
    <t xml:space="preserve">of price</t>
  </si>
  <si>
    <t xml:space="preserve">base</t>
  </si>
  <si>
    <t xml:space="preserve">Base-building work</t>
  </si>
  <si>
    <t xml:space="preserve">Roof, HVAC, restrooms on an older building</t>
  </si>
  <si>
    <t xml:space="preserve">bank_pct</t>
  </si>
  <si>
    <t xml:space="preserve">504 senior bank loan</t>
  </si>
  <si>
    <t xml:space="preserve">of project</t>
  </si>
  <si>
    <t xml:space="preserve">[78] Capital CDC; [79] eCFR (National Archives)</t>
  </si>
  <si>
    <t xml:space="preserve">50 / 40 / 10 structure</t>
  </si>
  <si>
    <t xml:space="preserve">cdc_pct</t>
  </si>
  <si>
    <t xml:space="preserve">504 CDC debenture</t>
  </si>
  <si>
    <t xml:space="preserve">Debenture capped at $5.5M [80]</t>
  </si>
  <si>
    <t xml:space="preserve">eq_pct</t>
  </si>
  <si>
    <t xml:space="preserve">Owner equity</t>
  </si>
  <si>
    <t xml:space="preserve">At least 10% (13 CFR 120.801)</t>
  </si>
  <si>
    <t xml:space="preserve">bank_rate</t>
  </si>
  <si>
    <t xml:space="preserve">Bank rate, 504 first lien</t>
  </si>
  <si>
    <t xml:space="preserve">fixed</t>
  </si>
  <si>
    <t xml:space="preserve">Conventional best case [69]; range 6.43-9.53% [71]</t>
  </si>
  <si>
    <t xml:space="preserve">cdc_rate</t>
  </si>
  <si>
    <t xml:space="preserve">504 debenture rate, 25-year</t>
  </si>
  <si>
    <t xml:space="preserve">[67] SomerCor (CDC); [68] Growth Corp (CDC)</t>
  </si>
  <si>
    <t xml:space="preserve">September 2026 pricing</t>
  </si>
  <si>
    <t xml:space="preserve">amort</t>
  </si>
  <si>
    <t xml:space="preserve">Amortization, both loans</t>
  </si>
  <si>
    <t xml:space="preserve">years</t>
  </si>
  <si>
    <t xml:space="preserve">Matches the 25-year debenture [67]</t>
  </si>
  <si>
    <t xml:space="preserve">opex</t>
  </si>
  <si>
    <t xml:space="preserve">Operating costs excluding property tax</t>
  </si>
  <si>
    <t xml:space="preserve">$/SF/yr</t>
  </si>
  <si>
    <t xml:space="preserve">No Austin figure published</t>
  </si>
  <si>
    <t xml:space="preserve">reserve</t>
  </si>
  <si>
    <t xml:space="preserve">Capital reserve</t>
  </si>
  <si>
    <t xml:space="preserve">taxval</t>
  </si>
  <si>
    <t xml:space="preserve">Taxable value</t>
  </si>
  <si>
    <t xml:space="preserve">Between purchase price and all-in cost</t>
  </si>
  <si>
    <t xml:space="preserve">taxrate</t>
  </si>
  <si>
    <t xml:space="preserve">Property tax rate, 2026</t>
  </si>
  <si>
    <t xml:space="preserve">of value</t>
  </si>
  <si>
    <t xml:space="preserve">[36] City of Austin; [73] Austin ISD; [75] Travis County; [77] Austin Current; [38] KUT</t>
  </si>
  <si>
    <t xml:space="preserve">Five taxing units, Austin ISD area</t>
  </si>
  <si>
    <t xml:space="preserve">opgrow</t>
  </si>
  <si>
    <t xml:space="preserve">Cost and tax-value growth</t>
  </si>
  <si>
    <t xml:space="preserve">mktgrow</t>
  </si>
  <si>
    <t xml:space="preserve">Market rent growth</t>
  </si>
  <si>
    <t xml:space="preserve">C&amp;W +3.3% in a year [1]; Newmark expects flat [8]</t>
  </si>
  <si>
    <t xml:space="preserve">bldg_share</t>
  </si>
  <si>
    <t xml:space="preserve">Building share of price</t>
  </si>
  <si>
    <t xml:space="preserve">bldg_life</t>
  </si>
  <si>
    <t xml:space="preserve">Building depreciation</t>
  </si>
  <si>
    <t xml:space="preserve">years, straight line</t>
  </si>
  <si>
    <t xml:space="preserve">[85] IRS</t>
  </si>
  <si>
    <t xml:space="preserve">bonus</t>
  </si>
  <si>
    <t xml:space="preserve">Bonus depreciation on fit-out (QIP)</t>
  </si>
  <si>
    <t xml:space="preserve">first year</t>
  </si>
  <si>
    <t xml:space="preserve">[85] IRS; [86] IRS; [87] PwC</t>
  </si>
  <si>
    <t xml:space="preserve">Permanent after Jan 19, 2025</t>
  </si>
  <si>
    <t xml:space="preserve">tax</t>
  </si>
  <si>
    <t xml:space="preserve">Federal income tax rate</t>
  </si>
  <si>
    <t xml:space="preserve">C corporation; franchise tax in every path [103]</t>
  </si>
  <si>
    <t xml:space="preserve">disc</t>
  </si>
  <si>
    <t xml:space="preserve">Discount rate</t>
  </si>
  <si>
    <t xml:space="preserve">after tax</t>
  </si>
  <si>
    <t xml:space="preserve">Client's cost of capital</t>
  </si>
  <si>
    <t xml:space="preserve">exit_cap</t>
  </si>
  <si>
    <t xml:space="preserve">Sale-leaseback cap rate</t>
  </si>
  <si>
    <t xml:space="preserve">National 7.1-7.9% [43, 44, 45]; higher for an unrated tenant</t>
  </si>
  <si>
    <t xml:space="preserve">sale_cost</t>
  </si>
  <si>
    <t xml:space="preserve">Cost of sale</t>
  </si>
  <si>
    <t xml:space="preserve">user_val</t>
  </si>
  <si>
    <t xml:space="preserve">Owner-user value today</t>
  </si>
  <si>
    <t xml:space="preserve">Same comps, $159 to $196.50 [23, 59, 6]</t>
  </si>
  <si>
    <t xml:space="preserve">exit_grow</t>
  </si>
  <si>
    <t xml:space="preserve">Owner-user value growth</t>
  </si>
  <si>
    <t xml:space="preserve">Set equal to market rent growth</t>
  </si>
  <si>
    <t xml:space="preserve">carry_m</t>
  </si>
  <si>
    <t xml:space="preserve">Months owned before move-in</t>
  </si>
  <si>
    <t xml:space="preserve">months</t>
  </si>
  <si>
    <t xml:space="preserve">March close to July move-in, interest only</t>
  </si>
  <si>
    <t xml:space="preserve">slb_esc</t>
  </si>
  <si>
    <t xml:space="preserve">Sale-leaseback rent escalation</t>
  </si>
  <si>
    <t xml:space="preserve">48% of W. P. Carey rent is on fixed bumps [97]</t>
  </si>
  <si>
    <t xml:space="preserve">slb_year</t>
  </si>
  <si>
    <t xml:space="preserve">Sale-leaseback year (base case)</t>
  </si>
  <si>
    <t xml:space="preserve">Ten-year model: lease, buy and hold, buy then sale-leaseback</t>
  </si>
  <si>
    <t xml:space="preserve">Year</t>
  </si>
  <si>
    <t xml:space="preserve">Period</t>
  </si>
  <si>
    <t xml:space="preserve">Jul 2027</t>
  </si>
  <si>
    <t xml:space="preserve">2027-28</t>
  </si>
  <si>
    <t xml:space="preserve">2028-29</t>
  </si>
  <si>
    <t xml:space="preserve">2029-30</t>
  </si>
  <si>
    <t xml:space="preserve">2030-31</t>
  </si>
  <si>
    <t xml:space="preserve">2031-32</t>
  </si>
  <si>
    <t xml:space="preserve">2032-33</t>
  </si>
  <si>
    <t xml:space="preserve">2033-34</t>
  </si>
  <si>
    <t xml:space="preserve">2034-35</t>
  </si>
  <si>
    <t xml:space="preserve">2035-36</t>
  </si>
  <si>
    <t xml:space="preserve">2036-37</t>
  </si>
  <si>
    <t xml:space="preserve">2037-38</t>
  </si>
  <si>
    <t xml:space="preserve">Market, per SF</t>
  </si>
  <si>
    <t xml:space="preserve">Owner operating cost incl. property tax, $/SF</t>
  </si>
  <si>
    <t xml:space="preserve">Market rent, full service, $/SF</t>
  </si>
  <si>
    <t xml:space="preserve">Market net rent (full service less owner costs), $/SF</t>
  </si>
  <si>
    <t xml:space="preserve">Path A: lease</t>
  </si>
  <si>
    <t xml:space="preserve">Rent, full service</t>
  </si>
  <si>
    <t xml:space="preserve">Fit-out above the allowance</t>
  </si>
  <si>
    <t xml:space="preserve">Pre-tax cash flow</t>
  </si>
  <si>
    <t xml:space="preserve">Tax savings</t>
  </si>
  <si>
    <t xml:space="preserve">After-tax cash flow, lease</t>
  </si>
  <si>
    <t xml:space="preserve">Path B: buy and hold (SBA 504)</t>
  </si>
  <si>
    <t xml:space="preserve">Acquisition incl. closing</t>
  </si>
  <si>
    <t xml:space="preserve">Project cost (acquisition, base building, fit-out)</t>
  </si>
  <si>
    <t xml:space="preserve">Senior bank loan</t>
  </si>
  <si>
    <t xml:space="preserve">SBA 504 debenture</t>
  </si>
  <si>
    <t xml:space="preserve">Bank payment, monthly</t>
  </si>
  <si>
    <t xml:space="preserve">Debenture payment, monthly</t>
  </si>
  <si>
    <t xml:space="preserve">Building depreciation, a year</t>
  </si>
  <si>
    <t xml:space="preserve">Carry before move-in (interest-only months, operating costs)</t>
  </si>
  <si>
    <t xml:space="preserve">Bank loan balance, end of year</t>
  </si>
  <si>
    <t xml:space="preserve">Debenture balance, end of year</t>
  </si>
  <si>
    <t xml:space="preserve">Debt service</t>
  </si>
  <si>
    <t xml:space="preserve">Principal repaid</t>
  </si>
  <si>
    <t xml:space="preserve">Interest</t>
  </si>
  <si>
    <t xml:space="preserve">Operating costs and property tax</t>
  </si>
  <si>
    <t xml:space="preserve">Depreciation</t>
  </si>
  <si>
    <t xml:space="preserve">Pre-tax cash flow before any sale</t>
  </si>
  <si>
    <t xml:space="preserve">Tax savings (interest, operating costs, depreciation)</t>
  </si>
  <si>
    <t xml:space="preserve">Building sold empty to an owner-user, end of year 10</t>
  </si>
  <si>
    <t xml:space="preserve">Net of cost of sale</t>
  </si>
  <si>
    <t xml:space="preserve">Adjusted basis</t>
  </si>
  <si>
    <t xml:space="preserve">Taxable gain</t>
  </si>
  <si>
    <t xml:space="preserve">Tax on gain</t>
  </si>
  <si>
    <t xml:space="preserve">Loan payoff</t>
  </si>
  <si>
    <t xml:space="preserve">Building value after payoff and tax</t>
  </si>
  <si>
    <t xml:space="preserve">After-tax cash flow, buy and hold</t>
  </si>
  <si>
    <t xml:space="preserve">Path C: buy, then sale-leaseback</t>
  </si>
  <si>
    <t xml:space="preserve">Sale year</t>
  </si>
  <si>
    <t xml:space="preserve">Sale price (next-year net rent / cap)</t>
  </si>
  <si>
    <t xml:space="preserve">Depreciation taken through the sale</t>
  </si>
  <si>
    <t xml:space="preserve">Cash released after payoff and tax</t>
  </si>
  <si>
    <t xml:space="preserve">First-year rent after the sale (net)</t>
  </si>
  <si>
    <t xml:space="preserve">Rent after the sale</t>
  </si>
  <si>
    <t xml:space="preserve">Pre-tax cash flow before the sale proceeds</t>
  </si>
  <si>
    <t xml:space="preserve">Sale proceeds after payoff and tax</t>
  </si>
  <si>
    <t xml:space="preserve">After-tax cash flow, sale-leaseback</t>
  </si>
  <si>
    <t xml:space="preserve">Summary</t>
  </si>
  <si>
    <t xml:space="preserve">Path</t>
  </si>
  <si>
    <t xml:space="preserve">10-year after-tax cash</t>
  </si>
  <si>
    <t xml:space="preserve">Present value</t>
  </si>
  <si>
    <t xml:space="preserve">Against leasing (PV)</t>
  </si>
  <si>
    <t xml:space="preserve">Lease</t>
  </si>
  <si>
    <t xml:space="preserve">Buy and hold</t>
  </si>
  <si>
    <t xml:space="preserve">Buy, then sale-leaseback</t>
  </si>
  <si>
    <t xml:space="preserve">Present value is of after-tax cash flows; a less negative number is a lower cost. Positive 'against leasing' means the path costs less than leasing.</t>
  </si>
  <si>
    <t xml:space="preserve">Sensitivity: present-value saving from buying instead of leasing</t>
  </si>
  <si>
    <t xml:space="preserve">Positive = the owning path costs less than leasing. Each cell is a full recalculation in SensCalc. Change the row and column headers to test other values.</t>
  </si>
  <si>
    <t xml:space="preserve">Buy and hold: purchase price x value per SF when sold empty in 2037 (last column: investor value with an 8% lease in place)</t>
  </si>
  <si>
    <t xml:space="preserve">Price $/SF \ Value 2037 $/SF</t>
  </si>
  <si>
    <t xml:space="preserve">Buy and hold: purchase price x change in both loan rates</t>
  </si>
  <si>
    <t xml:space="preserve">Price $/SF \ Rate change</t>
  </si>
  <si>
    <t xml:space="preserve">Buy, then sale-leaseback: sale year x cap rate</t>
  </si>
  <si>
    <t xml:space="preserve">Sale year \ Cap rate</t>
  </si>
  <si>
    <t xml:space="preserve">Base case: $190/SF purchase, sold empty at $190/SF grown 2.5% a year ($243 in 2037), today's rates, sale-leaseback in year 5 at an 8.00% cap.</t>
  </si>
  <si>
    <t xml:space="preserve">Calculation blocks behind the Sensitivity sheet (one per cell)</t>
  </si>
  <si>
    <t xml:space="preserve">Price x value in 2037: Price $/SF=150, Value 2037 $/SF=160.0</t>
  </si>
  <si>
    <t xml:space="preserve">Price $/SF</t>
  </si>
  <si>
    <t xml:space="preserve">Exit $/SF</t>
  </si>
  <si>
    <t xml:space="preserve">Bank rate</t>
  </si>
  <si>
    <t xml:space="preserve">Debenture rate</t>
  </si>
  <si>
    <t xml:space="preserve">Project, loans, payments</t>
  </si>
  <si>
    <t xml:space="preserve">Loan balances, end of year</t>
  </si>
  <si>
    <t xml:space="preserve">After-tax cash flow (year 10 incl. sale)</t>
  </si>
  <si>
    <t xml:space="preserve">PV of buying / saving against leasing</t>
  </si>
  <si>
    <t xml:space="preserve">Price x value in 2037: Price $/SF=150, Value 2037 $/SF=190.0</t>
  </si>
  <si>
    <t xml:space="preserve">Price x value in 2037: Price $/SF=150, Value 2037 $/SF=243.21606339730775</t>
  </si>
  <si>
    <t xml:space="preserve">Price x value in 2037: Price $/SF=150, Value 2037 $/SF=300.0</t>
  </si>
  <si>
    <t xml:space="preserve">Price x value in 2037: Price $/SF=150, Value 2037 $/SF=389.77906670884306</t>
  </si>
  <si>
    <t xml:space="preserve">Price x value in 2037: Price $/SF=170, Value 2037 $/SF=160.0</t>
  </si>
  <si>
    <t xml:space="preserve">Price x value in 2037: Price $/SF=170, Value 2037 $/SF=190.0</t>
  </si>
  <si>
    <t xml:space="preserve">Price x value in 2037: Price $/SF=170, Value 2037 $/SF=243.21606339730775</t>
  </si>
  <si>
    <t xml:space="preserve">Price x value in 2037: Price $/SF=170, Value 2037 $/SF=300.0</t>
  </si>
  <si>
    <t xml:space="preserve">Price x value in 2037: Price $/SF=170, Value 2037 $/SF=389.77906670884306</t>
  </si>
  <si>
    <t xml:space="preserve">Price x value in 2037: Price $/SF=190, Value 2037 $/SF=160.0</t>
  </si>
  <si>
    <t xml:space="preserve">Price x value in 2037: Price $/SF=190, Value 2037 $/SF=190.0</t>
  </si>
  <si>
    <t xml:space="preserve">Price x value in 2037: Price $/SF=190, Value 2037 $/SF=243.21606339730775</t>
  </si>
  <si>
    <t xml:space="preserve">Price x value in 2037: Price $/SF=190, Value 2037 $/SF=300.0</t>
  </si>
  <si>
    <t xml:space="preserve">Price x value in 2037: Price $/SF=190, Value 2037 $/SF=389.77906670884306</t>
  </si>
  <si>
    <t xml:space="preserve">Price x value in 2037: Price $/SF=210, Value 2037 $/SF=160.0</t>
  </si>
  <si>
    <t xml:space="preserve">Price x value in 2037: Price $/SF=210, Value 2037 $/SF=190.0</t>
  </si>
  <si>
    <t xml:space="preserve">Price x value in 2037: Price $/SF=210, Value 2037 $/SF=243.21606339730775</t>
  </si>
  <si>
    <t xml:space="preserve">Price x value in 2037: Price $/SF=210, Value 2037 $/SF=300.0</t>
  </si>
  <si>
    <t xml:space="preserve">Price x value in 2037: Price $/SF=210, Value 2037 $/SF=389.77906670884306</t>
  </si>
  <si>
    <t xml:space="preserve">Price x value in 2037: Price $/SF=230, Value 2037 $/SF=160.0</t>
  </si>
  <si>
    <t xml:space="preserve">Price x value in 2037: Price $/SF=230, Value 2037 $/SF=190.0</t>
  </si>
  <si>
    <t xml:space="preserve">Price x value in 2037: Price $/SF=230, Value 2037 $/SF=243.21606339730775</t>
  </si>
  <si>
    <t xml:space="preserve">Price x value in 2037: Price $/SF=230, Value 2037 $/SF=300.0</t>
  </si>
  <si>
    <t xml:space="preserve">Price x value in 2037: Price $/SF=230, Value 2037 $/SF=389.77906670884306</t>
  </si>
  <si>
    <t xml:space="preserve">Price x loan rates: Price $/SF=150, Rate change=-0.01</t>
  </si>
  <si>
    <t xml:space="preserve">Price x loan rates: Price $/SF=150, Rate change=-0.005</t>
  </si>
  <si>
    <t xml:space="preserve">Price x loan rates: Price $/SF=150, Rate change=0.0</t>
  </si>
  <si>
    <t xml:space="preserve">Price x loan rates: Price $/SF=150, Rate change=0.005</t>
  </si>
  <si>
    <t xml:space="preserve">Price x loan rates: Price $/SF=150, Rate change=0.01</t>
  </si>
  <si>
    <t xml:space="preserve">Price x loan rates: Price $/SF=170, Rate change=-0.01</t>
  </si>
  <si>
    <t xml:space="preserve">Price x loan rates: Price $/SF=170, Rate change=-0.005</t>
  </si>
  <si>
    <t xml:space="preserve">Price x loan rates: Price $/SF=170, Rate change=0.0</t>
  </si>
  <si>
    <t xml:space="preserve">Price x loan rates: Price $/SF=170, Rate change=0.005</t>
  </si>
  <si>
    <t xml:space="preserve">Price x loan rates: Price $/SF=170, Rate change=0.01</t>
  </si>
  <si>
    <t xml:space="preserve">Price x loan rates: Price $/SF=190, Rate change=-0.01</t>
  </si>
  <si>
    <t xml:space="preserve">Price x loan rates: Price $/SF=190, Rate change=-0.005</t>
  </si>
  <si>
    <t xml:space="preserve">Price x loan rates: Price $/SF=190, Rate change=0.0</t>
  </si>
  <si>
    <t xml:space="preserve">Price x loan rates: Price $/SF=190, Rate change=0.005</t>
  </si>
  <si>
    <t xml:space="preserve">Price x loan rates: Price $/SF=190, Rate change=0.01</t>
  </si>
  <si>
    <t xml:space="preserve">Price x loan rates: Price $/SF=210, Rate change=-0.01</t>
  </si>
  <si>
    <t xml:space="preserve">Price x loan rates: Price $/SF=210, Rate change=-0.005</t>
  </si>
  <si>
    <t xml:space="preserve">Price x loan rates: Price $/SF=210, Rate change=0.0</t>
  </si>
  <si>
    <t xml:space="preserve">Price x loan rates: Price $/SF=210, Rate change=0.005</t>
  </si>
  <si>
    <t xml:space="preserve">Price x loan rates: Price $/SF=210, Rate change=0.01</t>
  </si>
  <si>
    <t xml:space="preserve">Price x loan rates: Price $/SF=230, Rate change=-0.01</t>
  </si>
  <si>
    <t xml:space="preserve">Price x loan rates: Price $/SF=230, Rate change=-0.005</t>
  </si>
  <si>
    <t xml:space="preserve">Price x loan rates: Price $/SF=230, Rate change=0.0</t>
  </si>
  <si>
    <t xml:space="preserve">Price x loan rates: Price $/SF=230, Rate change=0.005</t>
  </si>
  <si>
    <t xml:space="preserve">Price x loan rates: Price $/SF=230, Rate change=0.01</t>
  </si>
  <si>
    <t xml:space="preserve">Sale-leaseback: Sale year=3, Cap rate=0.07</t>
  </si>
  <si>
    <t xml:space="preserve">Cap</t>
  </si>
  <si>
    <t xml:space="preserve">Sale: price, net, gain, payoff, after tax, rent</t>
  </si>
  <si>
    <t xml:space="preserve">After-tax cash flow</t>
  </si>
  <si>
    <t xml:space="preserve">PV / saving against leasing</t>
  </si>
  <si>
    <t xml:space="preserve">Sale-leaseback: Sale year=3, Cap rate=0.075</t>
  </si>
  <si>
    <t xml:space="preserve">Sale-leaseback: Sale year=3, Cap rate=0.08</t>
  </si>
  <si>
    <t xml:space="preserve">Sale-leaseback: Sale year=3, Cap rate=0.085</t>
  </si>
  <si>
    <t xml:space="preserve">Sale-leaseback: Sale year=3, Cap rate=0.09</t>
  </si>
  <si>
    <t xml:space="preserve">Sale-leaseback: Sale year=5, Cap rate=0.07</t>
  </si>
  <si>
    <t xml:space="preserve">Sale-leaseback: Sale year=5, Cap rate=0.075</t>
  </si>
  <si>
    <t xml:space="preserve">Sale-leaseback: Sale year=5, Cap rate=0.08</t>
  </si>
  <si>
    <t xml:space="preserve">Sale-leaseback: Sale year=5, Cap rate=0.085</t>
  </si>
  <si>
    <t xml:space="preserve">Sale-leaseback: Sale year=5, Cap rate=0.09</t>
  </si>
  <si>
    <t xml:space="preserve">Sale-leaseback: Sale year=7, Cap rate=0.07</t>
  </si>
  <si>
    <t xml:space="preserve">Sale-leaseback: Sale year=7, Cap rate=0.075</t>
  </si>
  <si>
    <t xml:space="preserve">Sale-leaseback: Sale year=7, Cap rate=0.08</t>
  </si>
  <si>
    <t xml:space="preserve">Sale-leaseback: Sale year=7, Cap rate=0.085</t>
  </si>
  <si>
    <t xml:space="preserve">Sale-leaseback: Sale year=7, Cap rate=0.09</t>
  </si>
  <si>
    <t xml:space="preserve">No.</t>
  </si>
  <si>
    <t xml:space="preserve">Publisher</t>
  </si>
  <si>
    <t xml:space="preserve">Title</t>
  </si>
  <si>
    <t xml:space="preserve">Date</t>
  </si>
  <si>
    <t xml:space="preserve">URL</t>
  </si>
  <si>
    <t xml:space="preserve">Cushman &amp; Wakefield</t>
  </si>
  <si>
    <t xml:space="preserve">MarketBeat Austin Office Q2 2026</t>
  </si>
  <si>
    <t xml:space="preserve">2026-07 (Q2 2026 report)</t>
  </si>
  <si>
    <t xml:space="preserve">https://assets.cushmanwakefield.com/-/media/cw/marketbeat-pdfs/2026/q2/us-reports/office/austin_americas_marketbeat_office_q22026.pdf?rev=2b6ea0a1f6aa49d78a2c8712afabc6a9</t>
  </si>
  <si>
    <t xml:space="preserve">Avison Young</t>
  </si>
  <si>
    <t xml:space="preserve">Austin Office market snapshot | Q1 2026</t>
  </si>
  <si>
    <t xml:space="preserve">2026-04</t>
  </si>
  <si>
    <t xml:space="preserve">https://www.avisonyoung.us/documents/d/austin/q1-2026_austin-office-report</t>
  </si>
  <si>
    <t xml:space="preserve">JLL</t>
  </si>
  <si>
    <t xml:space="preserve">Austin Office Market Dynamics, Office | Q2 2026</t>
  </si>
  <si>
    <t xml:space="preserve">https://www.jll.com/content/dam/jllcom/en/us/documents/reports/research-reports/market-dynamics-office/q2/26-insight-austin-office-q2-2026.pdf</t>
  </si>
  <si>
    <t xml:space="preserve">Commercial Property Executive</t>
  </si>
  <si>
    <t xml:space="preserve">Austin Office Pipeline Outpaces Peers (Yardi Matrix data)</t>
  </si>
  <si>
    <t xml:space="preserve">2026-09-29</t>
  </si>
  <si>
    <t xml:space="preserve">https://www.commercialsearch.com/news/austin-office-market-update/</t>
  </si>
  <si>
    <t xml:space="preserve">CBRE</t>
  </si>
  <si>
    <t xml:space="preserve">Austin Office Figures - Q2 2026</t>
  </si>
  <si>
    <t xml:space="preserve">2026-07-09</t>
  </si>
  <si>
    <t xml:space="preserve">https://www.cbre.com/insights/figures/austin-office-figures-q2-2026</t>
  </si>
  <si>
    <t xml:space="preserve">Partners Real Estate</t>
  </si>
  <si>
    <t xml:space="preserve">Austin Office | Q2 2026 | Quarterly Market Report (web page and PDF)</t>
  </si>
  <si>
    <t xml:space="preserve">2026-08-18</t>
  </si>
  <si>
    <t xml:space="preserve">https://partnersrealestate.com/wp-content/uploads/2026/08/Q226_Austin_Office_QuarterlyReport.pdf</t>
  </si>
  <si>
    <t xml:space="preserve">CRE Daily</t>
  </si>
  <si>
    <t xml:space="preserve">Austin Office Job Growth Surges as Vacancy Stays High</t>
  </si>
  <si>
    <t xml:space="preserve">2026-06-17</t>
  </si>
  <si>
    <t xml:space="preserve">https://www.credaily.com/briefs/austin-office-job-growth-surges-as-vacancy-stays-high/</t>
  </si>
  <si>
    <t xml:space="preserve">Newmark</t>
  </si>
  <si>
    <t xml:space="preserve">Market Overview: Austin Office 2Q26</t>
  </si>
  <si>
    <t xml:space="preserve">https://nmrk.imgix.net/uploads/fields/pdf-market-reports/2Q26-Austin-Texas-Office-Market-Report.pdf</t>
  </si>
  <si>
    <t xml:space="preserve">The Real Deal</t>
  </si>
  <si>
    <t xml:space="preserve">What to Expect in The Austin Office Market For 2026</t>
  </si>
  <si>
    <t xml:space="preserve">2026-01-19</t>
  </si>
  <si>
    <t xml:space="preserve">https://therealdeal.com/texas/austin/2026/01/19/what-to-expect-in-the-austin-office-market-for-2026/</t>
  </si>
  <si>
    <t xml:space="preserve">Austin Office | Q1 2026 | Quarterly Market Report</t>
  </si>
  <si>
    <t xml:space="preserve">2026-04-21</t>
  </si>
  <si>
    <t xml:space="preserve">https://partnersrealestate.com/research/austin-office-q1-2026-quarterly-market-report/</t>
  </si>
  <si>
    <t xml:space="preserve">Four Points News</t>
  </si>
  <si>
    <t xml:space="preserve">Former 3M site will continue to be R&amp;D site, not a data center</t>
  </si>
  <si>
    <t xml:space="preserve">2026-04-30</t>
  </si>
  <si>
    <t xml:space="preserve">https://www.fourpointsnews.com/2026/04/30/former-3m-site-will-continue-to-be-rd-site-not-a-data-center/</t>
  </si>
  <si>
    <t xml:space="preserve">Austin Office Sublease Glut Eases as Big Blocks Linger</t>
  </si>
  <si>
    <t xml:space="preserve">2026-05-07</t>
  </si>
  <si>
    <t xml:space="preserve">https://www.credaily.com/briefs/austin-office-sublease-glut-eases-as-big-blocks-linger/</t>
  </si>
  <si>
    <t xml:space="preserve">Austin Office Q2 2025 Quarterly Market Report</t>
  </si>
  <si>
    <t xml:space="preserve">2025-07</t>
  </si>
  <si>
    <t xml:space="preserve">https://partnersrealestate.com/wp-content/uploads/2025/07/Q2_2025_Austin_Office_QuarterlyReport.pdf</t>
  </si>
  <si>
    <t xml:space="preserve">Austin Office | Q4 2025 | Quarterly Market Report</t>
  </si>
  <si>
    <t xml:space="preserve">2026-01-16</t>
  </si>
  <si>
    <t xml:space="preserve">https://partnersrealestate.com/research/austin-office-q4-2025-quarterly-market-report/</t>
  </si>
  <si>
    <t xml:space="preserve">Community Impact</t>
  </si>
  <si>
    <t xml:space="preserve">Waterline, Texas' new tallest tower, tops out in Austin</t>
  </si>
  <si>
    <t xml:space="preserve">2025-07-31</t>
  </si>
  <si>
    <t xml:space="preserve">https://communityimpact.com/austin/south-central-austin/development/2025/07/31/waterline-texas-new-tallest-tower-tops-out-in-austin/</t>
  </si>
  <si>
    <t xml:space="preserve">Bisnow</t>
  </si>
  <si>
    <t xml:space="preserve">Austin's Office Slump Is Fueling Mixed-Use Projects</t>
  </si>
  <si>
    <t xml:space="preserve">2026-09-30</t>
  </si>
  <si>
    <t xml:space="preserve">https://www.bisnow.com/news/austin-san-antonio/mixed-use/austin-office-market-looks-to-mixed-use-redevelopment</t>
  </si>
  <si>
    <t xml:space="preserve">CommercialCafe</t>
  </si>
  <si>
    <t xml:space="preserve">Austin Office Rent Price &amp; Sales Report (Yardi Research)</t>
  </si>
  <si>
    <t xml:space="preserve">2026-01 (2025 data)</t>
  </si>
  <si>
    <t xml:space="preserve">https://www.commercialcafe.com/office-market-trends/us/tx/austin/</t>
  </si>
  <si>
    <t xml:space="preserve">Green Street</t>
  </si>
  <si>
    <t xml:space="preserve">Commercial Property Plods Along (Commercial Property Price Index press release)</t>
  </si>
  <si>
    <t xml:space="preserve">2026-05-06</t>
  </si>
  <si>
    <t xml:space="preserve">https://info.greenstreet.com/hubfs/GSCPPI-20260506press.pdf</t>
  </si>
  <si>
    <t xml:space="preserve">ECR (Equitable Commercial Realty)</t>
  </si>
  <si>
    <t xml:space="preserve">Austin CRE Market Update - April 2026</t>
  </si>
  <si>
    <t xml:space="preserve">2026-05-14</t>
  </si>
  <si>
    <t xml:space="preserve">https://www.ecrtx.com/news/austin-cre-market-update-april-2026/</t>
  </si>
  <si>
    <t xml:space="preserve">JLL Newsroom</t>
  </si>
  <si>
    <t xml:space="preserve">Central Austin office property sold to The City of Austin for $26M</t>
  </si>
  <si>
    <t xml:space="preserve">2025-05-14</t>
  </si>
  <si>
    <t xml:space="preserve">https://www.jll.com/en-us/newsroom/central-austin-office-property-sold-to-the-city-of-austin-for-26m</t>
  </si>
  <si>
    <t xml:space="preserve">Round Rock School District Pays $38M for Austin-Area Office</t>
  </si>
  <si>
    <t xml:space="preserve">2025-04-03</t>
  </si>
  <si>
    <t xml:space="preserve">https://therealdeal.com/texas/austin/2025/04/03/round-rock-school-district-pays-38m-for-austin-area-office/</t>
  </si>
  <si>
    <t xml:space="preserve">Travis County Hospital District Buys North Austin Office</t>
  </si>
  <si>
    <t xml:space="preserve">2025-12-29</t>
  </si>
  <si>
    <t xml:space="preserve">https://therealdeal.com/texas/austin/2025/12/29/travis-county-hospital-district-buys-north-austin-office/</t>
  </si>
  <si>
    <t xml:space="preserve">U.S. SEC (EDGAR)</t>
  </si>
  <si>
    <t xml:space="preserve">Artivion Inc. Exhibit 10.1, Real Estate Purchase and Sale Contract, 1300 E. Anderson Lane</t>
  </si>
  <si>
    <t xml:space="preserve">2025-09-26 (contract)</t>
  </si>
  <si>
    <t xml:space="preserve">https://www.sec.gov/Archives/edgar/data/784199/000162828025043099/ex-101.htm</t>
  </si>
  <si>
    <t xml:space="preserve">Hines Pays $151M for Austin Asset</t>
  </si>
  <si>
    <t xml:space="preserve">2026-07-14</t>
  </si>
  <si>
    <t xml:space="preserve">https://www.commercialsearch.com/news/hines-pays-151m-for-austin-asset/</t>
  </si>
  <si>
    <t xml:space="preserve">Cousins Properties Sells Austin Office Asset for $208M</t>
  </si>
  <si>
    <t xml:space="preserve">2026-07-31</t>
  </si>
  <si>
    <t xml:space="preserve">https://www.commercialsearch.com/news/cousins-properties-sells-austin-office-asset-for-208m/</t>
  </si>
  <si>
    <t xml:space="preserve">KBS Sells Austin Office Tower</t>
  </si>
  <si>
    <t xml:space="preserve">2026-09</t>
  </si>
  <si>
    <t xml:space="preserve">https://www.commercialsearch.com/news/kbs-sells-austin-office-tower/</t>
  </si>
  <si>
    <t xml:space="preserve">Connect CRE</t>
  </si>
  <si>
    <t xml:space="preserve">KBS Sells 26-Story Austin Office Tower</t>
  </si>
  <si>
    <t xml:space="preserve">2026-09-24</t>
  </si>
  <si>
    <t xml:space="preserve">https://www.connectcre.com/stories/kbs-acquires-26-story-austin-office-tower/</t>
  </si>
  <si>
    <t xml:space="preserve">Hoodline</t>
  </si>
  <si>
    <t xml:space="preserve">Private Austin Investor Buys 823 Congress Office Tower</t>
  </si>
  <si>
    <t xml:space="preserve">2026-05-27</t>
  </si>
  <si>
    <t xml:space="preserve">https://hoodline.com/2026/05/downtown-shakeup-mystery-austin-buyer-snaps-up-823-congress-tower/</t>
  </si>
  <si>
    <t xml:space="preserve">SB Energy purchases former 3M campus at River Place Blvd.</t>
  </si>
  <si>
    <t xml:space="preserve">2026-03-31</t>
  </si>
  <si>
    <t xml:space="preserve">https://www.fourpointsnews.com/2026/03/31/sb-energy-purchases-former-3m-campus-at-river-place-blvd-according-to-austin-business-journal/</t>
  </si>
  <si>
    <t xml:space="preserve">Austin Office Figures - Q1 2026</t>
  </si>
  <si>
    <t xml:space="preserve">2026-04-09</t>
  </si>
  <si>
    <t xml:space="preserve">https://www.cbre.com/insights/figures/austin-office-figures-q1-2026</t>
  </si>
  <si>
    <t xml:space="preserve">PNC Moves Austin Headquarters To ATX Tower With Crown Signage</t>
  </si>
  <si>
    <t xml:space="preserve">https://hoodline.com/2026/04/pnc-lights-up-downtown-austin-with-big-atx-tower-power-move/</t>
  </si>
  <si>
    <t xml:space="preserve">Apollo Global Management</t>
  </si>
  <si>
    <t xml:space="preserve">Apollo Selects Austin for Strategic Hub for Talent, Innovation and Long-Term Growth</t>
  </si>
  <si>
    <t xml:space="preserve">2026-08-03</t>
  </si>
  <si>
    <t xml:space="preserve">https://ir.apollo.com/news-events/press-releases/detail/638/apollo-selects-austin-for-strategic-hub-for-talent</t>
  </si>
  <si>
    <t xml:space="preserve">Board of Governors of the Federal Reserve System</t>
  </si>
  <si>
    <t xml:space="preserve">Federal Reserve issues FOMC statement (September 16, 2026)</t>
  </si>
  <si>
    <t xml:space="preserve">2026-09-16</t>
  </si>
  <si>
    <t xml:space="preserve">https://www.federalreserve.gov/monetarypolicy/files/monetary20260916a1.pdf</t>
  </si>
  <si>
    <t xml:space="preserve">H.15 Selected Interest Rates (Daily), October 2, 2026</t>
  </si>
  <si>
    <t xml:space="preserve">2026-10-02</t>
  </si>
  <si>
    <t xml:space="preserve">https://www.federalreserve.gov/releases/h15/</t>
  </si>
  <si>
    <t xml:space="preserve">Sale-Leaseback or Commercial Loan: Which Path Works Best in 2026?</t>
  </si>
  <si>
    <t xml:space="preserve">2026-06-03</t>
  </si>
  <si>
    <t xml:space="preserve">https://www.commercialsearch.com/news/sale-leaseback-or-commercial-loan-which-path-works-best-in-2026/</t>
  </si>
  <si>
    <t xml:space="preserve">City of Austin</t>
  </si>
  <si>
    <t xml:space="preserve">Austin City Council Approves $6.6 Billion Budget for Fiscal Year 2026-2027</t>
  </si>
  <si>
    <t xml:space="preserve">2026-08-12</t>
  </si>
  <si>
    <t xml:space="preserve">https://www.austintexas.gov/communications/news/austin-city-council-approves-66-billion-budget-fiscal-year-2026-2027</t>
  </si>
  <si>
    <t xml:space="preserve">Austin City Council Approves Amended Fiscal Year 2025-2026 Budget</t>
  </si>
  <si>
    <t xml:space="preserve">2025-11-20</t>
  </si>
  <si>
    <t xml:space="preserve">https://www.austintexas.gov/communications/news/austin-city-council-approves-amended-fiscal-year-2025-2026-budget</t>
  </si>
  <si>
    <t xml:space="preserve">KUT</t>
  </si>
  <si>
    <t xml:space="preserve">Travis County set to decide if Central Health can raise taxes to support mental health initiatives</t>
  </si>
  <si>
    <t xml:space="preserve">2026-09-14</t>
  </si>
  <si>
    <t xml:space="preserve">https://www.kut.org/health/2026-09-14/austin-tx-travis-county-central-health-budget-2027-mental-health-tax-increase</t>
  </si>
  <si>
    <t xml:space="preserve">Travis County</t>
  </si>
  <si>
    <t xml:space="preserve">Notice of Public Hearing and Vote on Tax Increase (Travis County Healthcare District / Central Health, 2026)</t>
  </si>
  <si>
    <t xml:space="preserve">2026-08</t>
  </si>
  <si>
    <t xml:space="preserve">https://www.traviscountytx.gov/news/2026/2938-notice-hearing-vote-tax-increase</t>
  </si>
  <si>
    <t xml:space="preserve">U.S. Bureau of Labor Statistics</t>
  </si>
  <si>
    <t xml:space="preserve">Austin-Round Rock-San Marcos, TX Economy at a Glance</t>
  </si>
  <si>
    <t xml:space="preserve">2026-09 (Aug 2026 data, preliminary)</t>
  </si>
  <si>
    <t xml:space="preserve">https://www.bls.gov/eag/eag.tx_austin_msa.htm</t>
  </si>
  <si>
    <t xml:space="preserve">Opportunity Austin (Austin Chamber)</t>
  </si>
  <si>
    <t xml:space="preserve">Relocations &amp; Expansions</t>
  </si>
  <si>
    <t xml:space="preserve">accessed 2026-10-05</t>
  </si>
  <si>
    <t xml:space="preserve">https://opportunityaustin.com/economic-development/relocations-expansions/</t>
  </si>
  <si>
    <t xml:space="preserve">U.S. Census Bureau</t>
  </si>
  <si>
    <t xml:space="preserve">Slow Growth Impacts Nation's Largest Counties Hardest (Vintage 2025 estimates)</t>
  </si>
  <si>
    <t xml:space="preserve">2026-03-26</t>
  </si>
  <si>
    <t xml:space="preserve">https://www.census.gov/newsroom/press-releases/2026/2025-popest-metro-micro-counties.html</t>
  </si>
  <si>
    <t xml:space="preserve">The Boulder Group</t>
  </si>
  <si>
    <t xml:space="preserve">Net Lease Market Report Q2 2026</t>
  </si>
  <si>
    <t xml:space="preserve">2026-07</t>
  </si>
  <si>
    <t xml:space="preserve">https://www.bouldergroup.com/media/pdf/2026-Q2-Net-Lease-Research-Report.pdf</t>
  </si>
  <si>
    <t xml:space="preserve">2026 Office Net Lease Sales Volume and Cap Rates (Northmarq / RCA data)</t>
  </si>
  <si>
    <t xml:space="preserve">2026-07-24</t>
  </si>
  <si>
    <t xml:space="preserve">https://www.commercialsearch.com/news/2026-office-net-lease-sales-volume-and-cap-rates/</t>
  </si>
  <si>
    <t xml:space="preserve">Net-Lease Investment Volume Rises in Q2 2026, Extending Broad Market Momentum</t>
  </si>
  <si>
    <t xml:space="preserve">2026-08-13</t>
  </si>
  <si>
    <t xml:space="preserve">https://www.cbre.com/press-releases/net-lease-investment-rises-q2-2026-extending-broad-market-momentum</t>
  </si>
  <si>
    <t xml:space="preserve">REBusinessOnline</t>
  </si>
  <si>
    <t xml:space="preserve">Lee &amp; Associates' Q2 Report: Office, Retail Markets Gain Momentum...</t>
  </si>
  <si>
    <t xml:space="preserve">2026-08-06</t>
  </si>
  <si>
    <t xml:space="preserve">https://rebusinessonline.com/lee-associates-q2-report-office-retail-markets-gain-momentum-as-industrial-multifamily-face-headwinds/</t>
  </si>
  <si>
    <t xml:space="preserve">Stock Titan (summary of SEC 8-K)</t>
  </si>
  <si>
    <t xml:space="preserve">AORT 8-K Filings - Artivion, Inc.</t>
  </si>
  <si>
    <t xml:space="preserve">2025-09-29</t>
  </si>
  <si>
    <t xml:space="preserve">https://www.stocktitan.net/sec-filings/AORT/8-k.html</t>
  </si>
  <si>
    <t xml:space="preserve">ACC Buys $130.5M Site Near Austin Airport For Infrastructure Academy</t>
  </si>
  <si>
    <t xml:space="preserve">https://hoodline.com/2026/04/acc-drops-130-million-on-mega-trade-campus-near-austin-airport/</t>
  </si>
  <si>
    <t xml:space="preserve">City of Round Rock</t>
  </si>
  <si>
    <t xml:space="preserve">City Property Taxes</t>
  </si>
  <si>
    <t xml:space="preserve">https://www.roundrocktexas.gov/city-departments/finance/city-property-taxes/</t>
  </si>
  <si>
    <t xml:space="preserve">CitizenPortal.ai</t>
  </si>
  <si>
    <t xml:space="preserve">Round Rock ISD sets 2025 tax rate, approves tax-anticipation note and board nominations</t>
  </si>
  <si>
    <t xml:space="preserve">2025-09-18</t>
  </si>
  <si>
    <t xml:space="preserve">https://citizenportal.ai/articles/5979593/texas/school-districts/round-rock-isd/round-rock-isd-sets-2025-tax-rate-approves-taxanticipation-note-and-board-nominations</t>
  </si>
  <si>
    <t xml:space="preserve">Williamson County</t>
  </si>
  <si>
    <t xml:space="preserve">Williamson County Approves FY25-26 Budget and Sets Tax Rate</t>
  </si>
  <si>
    <t xml:space="preserve">2025-09-04</t>
  </si>
  <si>
    <t xml:space="preserve">https://www.wilcotx.gov/CivicAlerts.aspx?AID=665</t>
  </si>
  <si>
    <t xml:space="preserve">OpenStreetMap Foundation</t>
  </si>
  <si>
    <t xml:space="preserve">Nominatim geocoding search API (OpenStreetMap data)</t>
  </si>
  <si>
    <t xml:space="preserve">https://nominatim.openstreetmap.org/</t>
  </si>
  <si>
    <t xml:space="preserve">NAI Excel</t>
  </si>
  <si>
    <t xml:space="preserve">Outlook 2026 Commercial Real Estate Market Report, Austin (Vol. 37)</t>
  </si>
  <si>
    <t xml:space="preserve">2026-02</t>
  </si>
  <si>
    <t xml:space="preserve">https://excelcres.com/wp-content/uploads/2026/02/2026-Outlook-Market-Report-AU.pdf</t>
  </si>
  <si>
    <t xml:space="preserve">AQUILA Commercial</t>
  </si>
  <si>
    <t xml:space="preserve">How Much Does It Cost to Lease Office Space in Austin, Texas?</t>
  </si>
  <si>
    <t xml:space="preserve">2026-08-20</t>
  </si>
  <si>
    <t xml:space="preserve">https://aquilacommercial.com/learning-center/cost-to-lease-office-space-austin-tx/</t>
  </si>
  <si>
    <t xml:space="preserve">eCFR (National Archives)</t>
  </si>
  <si>
    <t xml:space="preserve">13 CFR 120.131 Leasing part of new construction or existing building to another business</t>
  </si>
  <si>
    <t xml:space="preserve">current as of 2026-10-05</t>
  </si>
  <si>
    <t xml:space="preserve">https://www.ecfr.gov/current/title-13/chapter-I/part-120/subpart-A/subject-group-ECFR9dd6bd1e5dcb3e1/section-120.131</t>
  </si>
  <si>
    <t xml:space="preserve">Office Fit Out Cost Guide Americas 2026</t>
  </si>
  <si>
    <t xml:space="preserve">2026-03</t>
  </si>
  <si>
    <t xml:space="preserve">https://digital.cushmanwakefield.com/fitoutcostguide-03-2026-amer-regional-en-content-pds-office</t>
  </si>
  <si>
    <t xml:space="preserve">Office Fit-Out Costs Across the Americas Rise 5.5%... (2026 Cost Guide press release)</t>
  </si>
  <si>
    <t xml:space="preserve">https://ir.cushmanwakefield.com/news/press-release-details/2026/Office-Fit-Out-Costs-Across-the-Americas-Rise-5-5-as-Contractors-Expect-Further-Increases-According-to-Cushman--Wakefields-2026-Cost-Guide/default.aspx</t>
  </si>
  <si>
    <t xml:space="preserve">U.S. General Services Administration</t>
  </si>
  <si>
    <t xml:space="preserve">GSA announces public sale by auction of office condominium in Austin</t>
  </si>
  <si>
    <t xml:space="preserve">2025-03-21</t>
  </si>
  <si>
    <t xml:space="preserve">https://www.gsa.gov/about-us/gsa-regions/region-7-greater-southwest/region-7-newsroom/greater-southwest-feature-stories-and-news-release/gsa-announces-public-sale-by-auction-of-office-condominium-in-austin-03212025</t>
  </si>
  <si>
    <t xml:space="preserve">GSA Sells $3.49M Office Condominium in Austin</t>
  </si>
  <si>
    <t xml:space="preserve">2025-07-28</t>
  </si>
  <si>
    <t xml:space="preserve">https://www.gsa.gov/about-us/newsroom/former-gsa-regional-news-archive/region-7-newsroom/greater-southwest-feature-stories-and-news-release/gsa-sells-349m-office-condominium-in-austin-07282025</t>
  </si>
  <si>
    <t xml:space="preserve">Artivion Buys Austin Manufacturing Campus for $20.3M</t>
  </si>
  <si>
    <t xml:space="preserve">https://hoodline.com/2026/03/artivion-s-20-3-million-austin-power-play-heart-valve-maker-buys-its-own-campus/</t>
  </si>
  <si>
    <t xml:space="preserve">Coy Davidson (blog)</t>
  </si>
  <si>
    <t xml:space="preserve">Texas Office Market Snapshot - Q2 2026</t>
  </si>
  <si>
    <t xml:space="preserve">2026-07-20</t>
  </si>
  <si>
    <t xml:space="preserve">https://coydavidson.com/texas-office-market-snapshot-q2-2026/</t>
  </si>
  <si>
    <t xml:space="preserve">Austin City Council OKs $26M office purchase</t>
  </si>
  <si>
    <t xml:space="preserve">2025-04-25</t>
  </si>
  <si>
    <t xml:space="preserve">https://communityimpact.com/austin/south-central-austin/government/2025/04/25/austin-city-council-oks-26m-office-purchase/</t>
  </si>
  <si>
    <t xml:space="preserve">Austin, TX Office Buildings for Sale (listing page)</t>
  </si>
  <si>
    <t xml:space="preserve">https://www.commercialcafe.com/for-sale/office/us/tx/austin/</t>
  </si>
  <si>
    <t xml:space="preserve">MetroTex Association of Realtors</t>
  </si>
  <si>
    <t xml:space="preserve">Fact or Fiction: Must I Report Sales Prices to the MLS?</t>
  </si>
  <si>
    <t xml:space="preserve">2023-05-30</t>
  </si>
  <si>
    <t xml:space="preserve">https://www.mymetrotex.com/fact-or-fiction-must-i-report-sales-prices-to-the-mls/</t>
  </si>
  <si>
    <t xml:space="preserve">2025 Recap: 5 Largest Office Building Sales in Austin, Texas</t>
  </si>
  <si>
    <t xml:space="preserve">2026-01-09</t>
  </si>
  <si>
    <t xml:space="preserve">https://aquilacommercial.com/learning-center/2025-largest-office-building-sales-in-austin-texas/</t>
  </si>
  <si>
    <t xml:space="preserve">CRE Transactions in the Southwest (Week of September 28 / October 5, 2026)</t>
  </si>
  <si>
    <t xml:space="preserve">2026-10</t>
  </si>
  <si>
    <t xml:space="preserve">https://commercialsearch.com/news/recent-cre-southwest-transactions</t>
  </si>
  <si>
    <t xml:space="preserve">SomerCor (CDC)</t>
  </si>
  <si>
    <t xml:space="preserve">September 2026 SBA 504 Interest Rates</t>
  </si>
  <si>
    <t xml:space="preserve">2026-09-10</t>
  </si>
  <si>
    <t xml:space="preserve">https://somercor.com/september-2026-sba-504-interest-rates/</t>
  </si>
  <si>
    <t xml:space="preserve">Growth Corp (CDC)</t>
  </si>
  <si>
    <t xml:space="preserve">SBA 504 Rate Pricing</t>
  </si>
  <si>
    <t xml:space="preserve">https://www.growthcorp.com/sba-504-rate-pricing/</t>
  </si>
  <si>
    <t xml:space="preserve">Select Commercial Funding</t>
  </si>
  <si>
    <t xml:space="preserve">Commercial Mortgage Rates Start at 6.40%, October 5, 2026</t>
  </si>
  <si>
    <t xml:space="preserve">2026-10-05</t>
  </si>
  <si>
    <t xml:space="preserve">https://selectcommercial.com/commercial-mortgage-rates.php</t>
  </si>
  <si>
    <t xml:space="preserve">U.S. Small Business Administration</t>
  </si>
  <si>
    <t xml:space="preserve">7(a) loans</t>
  </si>
  <si>
    <t xml:space="preserve">https://www.sba.gov/funding-programs/loans/7a-loans</t>
  </si>
  <si>
    <t xml:space="preserve">Commercial Loan Direct</t>
  </si>
  <si>
    <t xml:space="preserve">Commercial Loan Rates &amp; Key Mortgage Indexes</t>
  </si>
  <si>
    <t xml:space="preserve">https://commercialloandirect.com/commercial-rates</t>
  </si>
  <si>
    <t xml:space="preserve">Federal Reserve Bank of St. Louis (FRED)</t>
  </si>
  <si>
    <t xml:space="preserve">10-Year Treasury Constant Maturity Rate (DGS10)</t>
  </si>
  <si>
    <t xml:space="preserve">https://fred.stlouisfed.org/series/DGS10</t>
  </si>
  <si>
    <t xml:space="preserve">Austin ISD</t>
  </si>
  <si>
    <t xml:space="preserve">Taxpayer Impact Statement, Tax Year 2026</t>
  </si>
  <si>
    <t xml:space="preserve">https://www.austinisd.org/sites/default/files/dept/budget/docs/Impact_Statement_Tax_Year_2026_0.pdf</t>
  </si>
  <si>
    <t xml:space="preserve">Fiscal Year 2026 - Tax Year 2025 Travis County Taxpayer Impact Statement</t>
  </si>
  <si>
    <t xml:space="preserve">2025</t>
  </si>
  <si>
    <t xml:space="preserve">https://www.traviscountytx.gov/planning-budget/tc-taxpayer-statement</t>
  </si>
  <si>
    <t xml:space="preserve">Notice of Public Hearing on Tax Increase (Travis County, 2026)</t>
  </si>
  <si>
    <t xml:space="preserve">2026-09-04</t>
  </si>
  <si>
    <t xml:space="preserve">https://www.traviscountytx.gov/images/planning_budget/Docs/2026/Notice_of_Public_Hearing_on_Tax_Increase_09-04-26.pdf</t>
  </si>
  <si>
    <t xml:space="preserve">Austin Community College</t>
  </si>
  <si>
    <t xml:space="preserve">ACC Approves New Property Tax Rate For FY25-26</t>
  </si>
  <si>
    <t xml:space="preserve">2025-09-16</t>
  </si>
  <si>
    <t xml:space="preserve">https://sites.austincc.edu/newsroom/2025/09/16/acc-approves-new-property-tax-rate-for-fy25-26/</t>
  </si>
  <si>
    <t xml:space="preserve">Austin Current</t>
  </si>
  <si>
    <t xml:space="preserve">Austin property tax rates rise, but some bills may fall</t>
  </si>
  <si>
    <t xml:space="preserve">https://austincurrent.org/2026/10/05/austin-travis-county-property-taxes-affordability/</t>
  </si>
  <si>
    <t xml:space="preserve">Capital CDC</t>
  </si>
  <si>
    <t xml:space="preserve">SBA 504 Loans</t>
  </si>
  <si>
    <t xml:space="preserve">https://www.capitalcdc.com/sba-504-loans</t>
  </si>
  <si>
    <t xml:space="preserve">13 CFR Part 120 Subpart H, Development Company Loan Program (504), incl. 120.801</t>
  </si>
  <si>
    <t xml:space="preserve">https://www.ecfr.gov/current/title-13/chapter-I/part-120/subpart-H</t>
  </si>
  <si>
    <t xml:space="preserve">504 loans</t>
  </si>
  <si>
    <t xml:space="preserve">https://www.sba.gov/funding-programs/loans/504-loans</t>
  </si>
  <si>
    <t xml:space="preserve">July 2026 Senior Loan Officer Opinion Survey on Bank Lending Practices</t>
  </si>
  <si>
    <t xml:space="preserve">https://www.federalreserve.gov/data/sloos/sloos-202607.htm</t>
  </si>
  <si>
    <t xml:space="preserve">O'Connor &amp; Associates</t>
  </si>
  <si>
    <t xml:space="preserve">Travis County Taxable Value Increased by $17.26 Billion in 2026</t>
  </si>
  <si>
    <t xml:space="preserve">2026-04-10</t>
  </si>
  <si>
    <t xml:space="preserve">https://www.poconnor.com/travis-county-taxable-value-increased-by-17-26-billion-in-2026</t>
  </si>
  <si>
    <t xml:space="preserve">Successful ARB Hearings Improve 2025 Travis County Property Tax Appeal Results</t>
  </si>
  <si>
    <t xml:space="preserve">2025-10-06</t>
  </si>
  <si>
    <t xml:space="preserve">https://www.poconnor.com/successful-arb-hearings-improve-2025-travis-county-property-tax-appeal-results/</t>
  </si>
  <si>
    <t xml:space="preserve">ACC District &amp; Service Area</t>
  </si>
  <si>
    <t xml:space="preserve">https://www.austincc.edu/about-acc/acc-district-service-area/</t>
  </si>
  <si>
    <t xml:space="preserve">IRS</t>
  </si>
  <si>
    <t xml:space="preserve">Publication 946 (2025), How To Depreciate Property</t>
  </si>
  <si>
    <t xml:space="preserve">2025 edition</t>
  </si>
  <si>
    <t xml:space="preserve">https://www.irs.gov/publications/p946</t>
  </si>
  <si>
    <t xml:space="preserve">Treasury, IRS issue guidance on the additional first year depreciation deduction amended as part of the One, Big, Beautiful Bill (IR-2026-06, Notice 2026-11)</t>
  </si>
  <si>
    <t xml:space="preserve">2026-01-14</t>
  </si>
  <si>
    <t xml:space="preserve">https://www.irs.gov/newsroom/treasury-irs-issue-guidance-on-the-additional-first-year-depreciation-deduction-amended-as-part-of-the-one-big-beautiful-bill</t>
  </si>
  <si>
    <t xml:space="preserve">PwC</t>
  </si>
  <si>
    <t xml:space="preserve">OB3 provides bonus depreciation, qualified production property</t>
  </si>
  <si>
    <t xml:space="preserve">https://www.pwc.com/us/en/services/tax/library/pwc-ob3-provides-bonus-depreciation-qualified-production-property.html</t>
  </si>
  <si>
    <t xml:space="preserve">Cost Segregation Audit Techniques Guide (Publication 5653)</t>
  </si>
  <si>
    <t xml:space="preserve">2025-02 revision</t>
  </si>
  <si>
    <t xml:space="preserve">https://www.irs.gov/pub/irs-pdf/p5653.pdf</t>
  </si>
  <si>
    <t xml:space="preserve">Plante Moran</t>
  </si>
  <si>
    <t xml:space="preserve">OBBB boosts U.S. manufacturing through new qualified production property deduction</t>
  </si>
  <si>
    <t xml:space="preserve">2025-11</t>
  </si>
  <si>
    <t xml:space="preserve">https://www.plantemoran.com/explore-our-thinking/insight/2025/11/obbb-boosts-us-manufacturing</t>
  </si>
  <si>
    <t xml:space="preserve">Current Federal Tax Developments</t>
  </si>
  <si>
    <t xml:space="preserve">2026 Inflation Adjustments for Tax Professionals: Revenue Procedure 2025-32 Analysis</t>
  </si>
  <si>
    <t xml:space="preserve">2025-10-09</t>
  </si>
  <si>
    <t xml:space="preserve">https://www.currentfederaltaxdevelopments.com/blog/2025/10/9/2026-inflation-adjustments-for-tax-professionals-revenue-procedure-2025-32-analysis</t>
  </si>
  <si>
    <t xml:space="preserve">Marsh</t>
  </si>
  <si>
    <t xml:space="preserve">US Insurance Rates (Global Insurance Market Index, Q2 2026)</t>
  </si>
  <si>
    <t xml:space="preserve">https://www.marsh.com/en/services/international-placement-services/insights/us-insurance-rates.html</t>
  </si>
  <si>
    <t xml:space="preserve">Insurance Journal</t>
  </si>
  <si>
    <t xml:space="preserve">Q2 Global Commercial Insurance Rates Keep Dropping, Except for US Casualty</t>
  </si>
  <si>
    <t xml:space="preserve">2026-07-23</t>
  </si>
  <si>
    <t xml:space="preserve">https://www.insurancejournal.com/news/national/2026/07/23/878716.htm</t>
  </si>
  <si>
    <t xml:space="preserve">SLB Capital Advisors</t>
  </si>
  <si>
    <t xml:space="preserve">Sale Leaseback Transactions: Frequently Asked Questions</t>
  </si>
  <si>
    <t xml:space="preserve">updated 2026-05-11</t>
  </si>
  <si>
    <t xml:space="preserve">https://slbcapitaladvisors.com/insights/sale-leaseback-transactions-frequently-asked-questions/</t>
  </si>
  <si>
    <t xml:space="preserve">Austin Commercial Real Estate Market Report (Office, Q2 2026)</t>
  </si>
  <si>
    <t xml:space="preserve">2026-07-22</t>
  </si>
  <si>
    <t xml:space="preserve">https://www.ecrtx.com/austin/market-report/</t>
  </si>
  <si>
    <t xml:space="preserve">U.S. Cap Rate Survey H1 2026</t>
  </si>
  <si>
    <t xml:space="preserve">https://www.cbre.com/insights/reports/us-cap-rate-survey-h1-2026</t>
  </si>
  <si>
    <t xml:space="preserve">Sale-Leaseback Deals Slide, Even as STNL Investment Grows (Newmark data)</t>
  </si>
  <si>
    <t xml:space="preserve">2026-09-21</t>
  </si>
  <si>
    <t xml:space="preserve">https://www.commercialsearch.com/news/sale-leaseback-deals-slide-even-as-stnl-investment-grows/</t>
  </si>
  <si>
    <t xml:space="preserve">W. P. Carey (SEC EDGAR)</t>
  </si>
  <si>
    <t xml:space="preserve">W. P. Carey 4Q25 Investor Presentation</t>
  </si>
  <si>
    <t xml:space="preserve">https://www.sec.gov/Archives/edgar/data/1025378/000102537826000026/investorpresentation4q25.htm</t>
  </si>
  <si>
    <t xml:space="preserve">Like-kind exchanges - real estate tax tips</t>
  </si>
  <si>
    <t xml:space="preserve">https://www.irs.gov/businesses/small-businesses-self-employed/like-kind-exchanges-real-estate-tax-tips</t>
  </si>
  <si>
    <t xml:space="preserve">Instructions for Form 8824 (2025)</t>
  </si>
  <si>
    <t xml:space="preserve">https://www.irs.gov/instructions/i8824</t>
  </si>
  <si>
    <t xml:space="preserve">Travis Central Appraisal District</t>
  </si>
  <si>
    <t xml:space="preserve">2026 Market Values On Their Way To Travis County Property Owners</t>
  </si>
  <si>
    <t xml:space="preserve">2026-03-25</t>
  </si>
  <si>
    <t xml:space="preserve">https://traviscad.org/news/2026-market-values-on-their-way</t>
  </si>
  <si>
    <t xml:space="preserve">Office Building Owners Offering Fewer Concessions to Tenants</t>
  </si>
  <si>
    <t xml:space="preserve">2025-03-06</t>
  </si>
  <si>
    <t xml:space="preserve">https://www.cbre.com/press-releases/office-building-owners-offering-fewer-concessions-to-tenants</t>
  </si>
  <si>
    <t xml:space="preserve">Growth of Office Effective Rents Limited by Record-High Concessions</t>
  </si>
  <si>
    <t xml:space="preserve">2023-12-20</t>
  </si>
  <si>
    <t xml:space="preserve">https://www.cbre.com/insights/briefs/growth-of-office-effective-rents-limited-by-record-high-concessions</t>
  </si>
  <si>
    <t xml:space="preserve">Texas Comptroller of Public Accounts</t>
  </si>
  <si>
    <t xml:space="preserve">Franchise Tax</t>
  </si>
  <si>
    <t xml:space="preserve">https://comptroller.texas.gov/taxes/franchise/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</si>
</sst>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"/>
    <numFmt numFmtId="166" formatCode="\$#,##0.00"/>
    <numFmt numFmtId="167" formatCode="0.00%"/>
    <numFmt numFmtId="168" formatCode="0.000000%"/>
    <numFmt numFmtId="169" formatCode="#,##0;\(#,##0\);\-"/>
    <numFmt numFmtId="170" formatCode="0"/>
    <numFmt numFmtId="171" formatCode="\+0.00%;\-0.00%;0.0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C2A3A"/>
      <name val="Arial"/>
      <family val="0"/>
      <charset val="1"/>
    </font>
    <font>
      <sz val="10"/>
      <color rgb="FF1C2A3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6C7884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1C2A3A"/>
      <name val="Arial"/>
      <family val="0"/>
      <charset val="1"/>
    </font>
    <font>
      <b val="true"/>
      <sz val="10"/>
      <color rgb="FFE07A5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C2A3A"/>
        <bgColor rgb="FF003366"/>
      </patternFill>
    </fill>
    <fill>
      <patternFill patternType="solid">
        <fgColor rgb="FFFBE3DB"/>
        <bgColor rgb="FFF1F0EC"/>
      </patternFill>
    </fill>
    <fill>
      <patternFill patternType="solid">
        <fgColor rgb="FFF1F0EC"/>
        <bgColor rgb="FFFBE3DB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CE0E4"/>
      </bottom>
      <diagonal/>
    </border>
    <border diagonalUp="false" diagonalDown="false">
      <left/>
      <right/>
      <top style="medium">
        <color rgb="FF1C2A3A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C7884"/>
      <rgbColor rgb="FF9999FF"/>
      <rgbColor rgb="FF993366"/>
      <rgbColor rgb="FFF1F0EC"/>
      <rgbColor rgb="FFCCFFFF"/>
      <rgbColor rgb="FF660066"/>
      <rgbColor rgb="FFE07A5F"/>
      <rgbColor rgb="FF0066CC"/>
      <rgbColor rgb="FFDCE0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BE3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C2A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 t="s">
        <v>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46"/>
    <col collapsed="false" customWidth="true" hidden="false" outlineLevel="0" max="3" min="3" style="0" width="14"/>
    <col collapsed="false" customWidth="true" hidden="false" outlineLevel="0" max="4" min="4" style="0" width="22"/>
    <col collapsed="false" customWidth="true" hidden="false" outlineLevel="0" max="5" min="5" style="0" width="12"/>
    <col collapsed="false" customWidth="true" hidden="false" outlineLevel="0" max="6" min="6" style="0" width="46"/>
    <col collapsed="false" customWidth="true" hidden="false" outlineLevel="0" max="7" min="7" style="0" width="80"/>
  </cols>
  <sheetData>
    <row r="1" customFormat="false" ht="15" hidden="false" customHeight="false" outlineLevel="0" collapsed="false">
      <c r="A1" s="3" t="s">
        <v>8</v>
      </c>
      <c r="B1" s="3" t="s">
        <v>9</v>
      </c>
      <c r="C1" s="3" t="s">
        <v>10</v>
      </c>
      <c r="D1" s="3" t="s">
        <v>11</v>
      </c>
      <c r="E1" s="3" t="s">
        <v>12</v>
      </c>
      <c r="F1" s="3" t="s">
        <v>13</v>
      </c>
      <c r="G1" s="3" t="s">
        <v>14</v>
      </c>
    </row>
    <row r="2" customFormat="false" ht="15" hidden="false" customHeight="false" outlineLevel="0" collapsed="false">
      <c r="A2" s="4" t="s">
        <v>15</v>
      </c>
      <c r="B2" s="5" t="s">
        <v>16</v>
      </c>
      <c r="C2" s="6" t="n">
        <v>20000</v>
      </c>
      <c r="D2" s="5" t="s">
        <v>17</v>
      </c>
      <c r="E2" s="7" t="s">
        <v>18</v>
      </c>
      <c r="F2" s="8"/>
      <c r="G2" s="4" t="s">
        <v>19</v>
      </c>
    </row>
    <row r="3" customFormat="false" ht="15" hidden="false" customHeight="false" outlineLevel="0" collapsed="false">
      <c r="A3" s="4" t="s">
        <v>20</v>
      </c>
      <c r="B3" s="5" t="s">
        <v>21</v>
      </c>
      <c r="C3" s="9" t="n">
        <v>42</v>
      </c>
      <c r="D3" s="5" t="s">
        <v>22</v>
      </c>
      <c r="E3" s="10" t="s">
        <v>23</v>
      </c>
      <c r="F3" s="8"/>
      <c r="G3" s="4" t="s">
        <v>24</v>
      </c>
    </row>
    <row r="4" customFormat="false" ht="15" hidden="false" customHeight="false" outlineLevel="0" collapsed="false">
      <c r="A4" s="4" t="s">
        <v>25</v>
      </c>
      <c r="B4" s="5" t="s">
        <v>26</v>
      </c>
      <c r="C4" s="11" t="n">
        <v>0.03</v>
      </c>
      <c r="D4" s="5" t="s">
        <v>27</v>
      </c>
      <c r="E4" s="10" t="s">
        <v>23</v>
      </c>
      <c r="F4" s="8"/>
      <c r="G4" s="4" t="s">
        <v>28</v>
      </c>
    </row>
    <row r="5" customFormat="false" ht="15" hidden="false" customHeight="false" outlineLevel="0" collapsed="false">
      <c r="A5" s="4" t="s">
        <v>29</v>
      </c>
      <c r="B5" s="5" t="s">
        <v>30</v>
      </c>
      <c r="C5" s="6" t="n">
        <v>8</v>
      </c>
      <c r="D5" s="5" t="s">
        <v>31</v>
      </c>
      <c r="E5" s="10" t="s">
        <v>23</v>
      </c>
      <c r="F5" s="8"/>
      <c r="G5" s="4" t="s">
        <v>32</v>
      </c>
    </row>
    <row r="6" customFormat="false" ht="15" hidden="false" customHeight="false" outlineLevel="0" collapsed="false">
      <c r="A6" s="4" t="s">
        <v>33</v>
      </c>
      <c r="B6" s="5" t="s">
        <v>34</v>
      </c>
      <c r="C6" s="9" t="n">
        <v>80</v>
      </c>
      <c r="D6" s="5" t="s">
        <v>35</v>
      </c>
      <c r="E6" s="10" t="s">
        <v>23</v>
      </c>
      <c r="F6" s="8"/>
      <c r="G6" s="4" t="s">
        <v>36</v>
      </c>
    </row>
    <row r="7" customFormat="false" ht="15" hidden="false" customHeight="false" outlineLevel="0" collapsed="false">
      <c r="A7" s="4" t="s">
        <v>37</v>
      </c>
      <c r="B7" s="5" t="s">
        <v>38</v>
      </c>
      <c r="C7" s="9" t="n">
        <v>136.77</v>
      </c>
      <c r="D7" s="5" t="s">
        <v>35</v>
      </c>
      <c r="E7" s="7" t="s">
        <v>39</v>
      </c>
      <c r="F7" s="5" t="s">
        <v>40</v>
      </c>
      <c r="G7" s="4" t="s">
        <v>41</v>
      </c>
    </row>
    <row r="8" customFormat="false" ht="15" hidden="false" customHeight="false" outlineLevel="0" collapsed="false">
      <c r="A8" s="4" t="s">
        <v>42</v>
      </c>
      <c r="B8" s="5" t="s">
        <v>43</v>
      </c>
      <c r="C8" s="9" t="n">
        <v>190</v>
      </c>
      <c r="D8" s="5" t="s">
        <v>35</v>
      </c>
      <c r="E8" s="10" t="s">
        <v>23</v>
      </c>
      <c r="F8" s="8"/>
      <c r="G8" s="4" t="s">
        <v>44</v>
      </c>
    </row>
    <row r="9" customFormat="false" ht="15" hidden="false" customHeight="false" outlineLevel="0" collapsed="false">
      <c r="A9" s="4" t="s">
        <v>45</v>
      </c>
      <c r="B9" s="5" t="s">
        <v>46</v>
      </c>
      <c r="C9" s="11" t="n">
        <v>0.02</v>
      </c>
      <c r="D9" s="5" t="s">
        <v>47</v>
      </c>
      <c r="E9" s="10" t="s">
        <v>23</v>
      </c>
      <c r="F9" s="8"/>
      <c r="G9" s="4"/>
    </row>
    <row r="10" customFormat="false" ht="15" hidden="false" customHeight="false" outlineLevel="0" collapsed="false">
      <c r="A10" s="4" t="s">
        <v>48</v>
      </c>
      <c r="B10" s="5" t="s">
        <v>49</v>
      </c>
      <c r="C10" s="9" t="n">
        <v>20</v>
      </c>
      <c r="D10" s="5" t="s">
        <v>35</v>
      </c>
      <c r="E10" s="10" t="s">
        <v>23</v>
      </c>
      <c r="F10" s="8"/>
      <c r="G10" s="4" t="s">
        <v>50</v>
      </c>
    </row>
    <row r="11" customFormat="false" ht="15" hidden="false" customHeight="false" outlineLevel="0" collapsed="false">
      <c r="A11" s="4" t="s">
        <v>51</v>
      </c>
      <c r="B11" s="5" t="s">
        <v>52</v>
      </c>
      <c r="C11" s="11" t="n">
        <v>0.5</v>
      </c>
      <c r="D11" s="5" t="s">
        <v>53</v>
      </c>
      <c r="E11" s="7" t="s">
        <v>39</v>
      </c>
      <c r="F11" s="5" t="s">
        <v>54</v>
      </c>
      <c r="G11" s="4" t="s">
        <v>55</v>
      </c>
    </row>
    <row r="12" customFormat="false" ht="15" hidden="false" customHeight="false" outlineLevel="0" collapsed="false">
      <c r="A12" s="4" t="s">
        <v>56</v>
      </c>
      <c r="B12" s="5" t="s">
        <v>57</v>
      </c>
      <c r="C12" s="11" t="n">
        <v>0.4</v>
      </c>
      <c r="D12" s="5" t="s">
        <v>53</v>
      </c>
      <c r="E12" s="7" t="s">
        <v>39</v>
      </c>
      <c r="F12" s="5" t="s">
        <v>54</v>
      </c>
      <c r="G12" s="4" t="s">
        <v>58</v>
      </c>
    </row>
    <row r="13" customFormat="false" ht="15" hidden="false" customHeight="false" outlineLevel="0" collapsed="false">
      <c r="A13" s="4" t="s">
        <v>59</v>
      </c>
      <c r="B13" s="5" t="s">
        <v>60</v>
      </c>
      <c r="C13" s="11" t="n">
        <v>0.1</v>
      </c>
      <c r="D13" s="5" t="s">
        <v>53</v>
      </c>
      <c r="E13" s="7" t="s">
        <v>39</v>
      </c>
      <c r="F13" s="5" t="s">
        <v>54</v>
      </c>
      <c r="G13" s="4" t="s">
        <v>61</v>
      </c>
    </row>
    <row r="14" customFormat="false" ht="15" hidden="false" customHeight="false" outlineLevel="0" collapsed="false">
      <c r="A14" s="4" t="s">
        <v>62</v>
      </c>
      <c r="B14" s="5" t="s">
        <v>63</v>
      </c>
      <c r="C14" s="11" t="n">
        <v>0.0726</v>
      </c>
      <c r="D14" s="5" t="s">
        <v>64</v>
      </c>
      <c r="E14" s="10" t="s">
        <v>23</v>
      </c>
      <c r="F14" s="8"/>
      <c r="G14" s="4" t="s">
        <v>65</v>
      </c>
    </row>
    <row r="15" customFormat="false" ht="15" hidden="false" customHeight="false" outlineLevel="0" collapsed="false">
      <c r="A15" s="4" t="s">
        <v>66</v>
      </c>
      <c r="B15" s="5" t="s">
        <v>67</v>
      </c>
      <c r="C15" s="11" t="n">
        <v>0.0654</v>
      </c>
      <c r="D15" s="5" t="s">
        <v>64</v>
      </c>
      <c r="E15" s="7" t="s">
        <v>39</v>
      </c>
      <c r="F15" s="5" t="s">
        <v>68</v>
      </c>
      <c r="G15" s="4" t="s">
        <v>69</v>
      </c>
    </row>
    <row r="16" customFormat="false" ht="15" hidden="false" customHeight="false" outlineLevel="0" collapsed="false">
      <c r="A16" s="4" t="s">
        <v>70</v>
      </c>
      <c r="B16" s="5" t="s">
        <v>71</v>
      </c>
      <c r="C16" s="6" t="n">
        <v>25</v>
      </c>
      <c r="D16" s="5" t="s">
        <v>72</v>
      </c>
      <c r="E16" s="10" t="s">
        <v>23</v>
      </c>
      <c r="F16" s="8"/>
      <c r="G16" s="4" t="s">
        <v>73</v>
      </c>
    </row>
    <row r="17" customFormat="false" ht="15" hidden="false" customHeight="false" outlineLevel="0" collapsed="false">
      <c r="A17" s="4" t="s">
        <v>74</v>
      </c>
      <c r="B17" s="5" t="s">
        <v>75</v>
      </c>
      <c r="C17" s="9" t="n">
        <v>11</v>
      </c>
      <c r="D17" s="5" t="s">
        <v>76</v>
      </c>
      <c r="E17" s="10" t="s">
        <v>23</v>
      </c>
      <c r="F17" s="8"/>
      <c r="G17" s="4" t="s">
        <v>77</v>
      </c>
    </row>
    <row r="18" customFormat="false" ht="15" hidden="false" customHeight="false" outlineLevel="0" collapsed="false">
      <c r="A18" s="4" t="s">
        <v>78</v>
      </c>
      <c r="B18" s="5" t="s">
        <v>79</v>
      </c>
      <c r="C18" s="9" t="n">
        <v>0.5</v>
      </c>
      <c r="D18" s="5" t="s">
        <v>76</v>
      </c>
      <c r="E18" s="10" t="s">
        <v>23</v>
      </c>
      <c r="F18" s="8"/>
      <c r="G18" s="4"/>
    </row>
    <row r="19" customFormat="false" ht="15" hidden="false" customHeight="false" outlineLevel="0" collapsed="false">
      <c r="A19" s="4" t="s">
        <v>80</v>
      </c>
      <c r="B19" s="5" t="s">
        <v>81</v>
      </c>
      <c r="C19" s="9" t="n">
        <v>250</v>
      </c>
      <c r="D19" s="5" t="s">
        <v>35</v>
      </c>
      <c r="E19" s="10" t="s">
        <v>23</v>
      </c>
      <c r="F19" s="8"/>
      <c r="G19" s="4" t="s">
        <v>82</v>
      </c>
    </row>
    <row r="20" customFormat="false" ht="15" hidden="false" customHeight="false" outlineLevel="0" collapsed="false">
      <c r="A20" s="4" t="s">
        <v>83</v>
      </c>
      <c r="B20" s="5" t="s">
        <v>84</v>
      </c>
      <c r="C20" s="12" t="n">
        <v>0.02121021</v>
      </c>
      <c r="D20" s="5" t="s">
        <v>85</v>
      </c>
      <c r="E20" s="7" t="s">
        <v>39</v>
      </c>
      <c r="F20" s="5" t="s">
        <v>86</v>
      </c>
      <c r="G20" s="4" t="s">
        <v>87</v>
      </c>
    </row>
    <row r="21" customFormat="false" ht="15" hidden="false" customHeight="false" outlineLevel="0" collapsed="false">
      <c r="A21" s="4" t="s">
        <v>88</v>
      </c>
      <c r="B21" s="5" t="s">
        <v>89</v>
      </c>
      <c r="C21" s="11" t="n">
        <v>0.03</v>
      </c>
      <c r="D21" s="5" t="s">
        <v>27</v>
      </c>
      <c r="E21" s="10" t="s">
        <v>23</v>
      </c>
      <c r="F21" s="8"/>
      <c r="G21" s="4"/>
    </row>
    <row r="22" customFormat="false" ht="15" hidden="false" customHeight="false" outlineLevel="0" collapsed="false">
      <c r="A22" s="4" t="s">
        <v>90</v>
      </c>
      <c r="B22" s="5" t="s">
        <v>91</v>
      </c>
      <c r="C22" s="11" t="n">
        <v>0.025</v>
      </c>
      <c r="D22" s="5" t="s">
        <v>27</v>
      </c>
      <c r="E22" s="10" t="s">
        <v>23</v>
      </c>
      <c r="F22" s="8"/>
      <c r="G22" s="4" t="s">
        <v>92</v>
      </c>
    </row>
    <row r="23" customFormat="false" ht="15" hidden="false" customHeight="false" outlineLevel="0" collapsed="false">
      <c r="A23" s="4" t="s">
        <v>93</v>
      </c>
      <c r="B23" s="5" t="s">
        <v>94</v>
      </c>
      <c r="C23" s="11" t="n">
        <v>0.8</v>
      </c>
      <c r="D23" s="5" t="s">
        <v>47</v>
      </c>
      <c r="E23" s="10" t="s">
        <v>23</v>
      </c>
      <c r="F23" s="8"/>
      <c r="G23" s="4"/>
    </row>
    <row r="24" customFormat="false" ht="15" hidden="false" customHeight="false" outlineLevel="0" collapsed="false">
      <c r="A24" s="4" t="s">
        <v>95</v>
      </c>
      <c r="B24" s="5" t="s">
        <v>96</v>
      </c>
      <c r="C24" s="6" t="n">
        <v>39</v>
      </c>
      <c r="D24" s="5" t="s">
        <v>97</v>
      </c>
      <c r="E24" s="7" t="s">
        <v>39</v>
      </c>
      <c r="F24" s="5" t="s">
        <v>98</v>
      </c>
      <c r="G24" s="4"/>
    </row>
    <row r="25" customFormat="false" ht="15" hidden="false" customHeight="false" outlineLevel="0" collapsed="false">
      <c r="A25" s="4" t="s">
        <v>99</v>
      </c>
      <c r="B25" s="5" t="s">
        <v>100</v>
      </c>
      <c r="C25" s="11" t="n">
        <v>1</v>
      </c>
      <c r="D25" s="5" t="s">
        <v>101</v>
      </c>
      <c r="E25" s="7" t="s">
        <v>39</v>
      </c>
      <c r="F25" s="5" t="s">
        <v>102</v>
      </c>
      <c r="G25" s="4" t="s">
        <v>103</v>
      </c>
    </row>
    <row r="26" customFormat="false" ht="15" hidden="false" customHeight="false" outlineLevel="0" collapsed="false">
      <c r="A26" s="4" t="s">
        <v>104</v>
      </c>
      <c r="B26" s="5" t="s">
        <v>105</v>
      </c>
      <c r="C26" s="11" t="n">
        <v>0.21</v>
      </c>
      <c r="D26" s="5"/>
      <c r="E26" s="10" t="s">
        <v>23</v>
      </c>
      <c r="F26" s="8"/>
      <c r="G26" s="4" t="s">
        <v>106</v>
      </c>
    </row>
    <row r="27" customFormat="false" ht="15" hidden="false" customHeight="false" outlineLevel="0" collapsed="false">
      <c r="A27" s="4" t="s">
        <v>107</v>
      </c>
      <c r="B27" s="5" t="s">
        <v>108</v>
      </c>
      <c r="C27" s="11" t="n">
        <v>0.08</v>
      </c>
      <c r="D27" s="5" t="s">
        <v>109</v>
      </c>
      <c r="E27" s="10" t="s">
        <v>23</v>
      </c>
      <c r="F27" s="8"/>
      <c r="G27" s="4" t="s">
        <v>110</v>
      </c>
    </row>
    <row r="28" customFormat="false" ht="15" hidden="false" customHeight="false" outlineLevel="0" collapsed="false">
      <c r="A28" s="4" t="s">
        <v>111</v>
      </c>
      <c r="B28" s="5" t="s">
        <v>112</v>
      </c>
      <c r="C28" s="11" t="n">
        <v>0.08</v>
      </c>
      <c r="D28" s="5"/>
      <c r="E28" s="10" t="s">
        <v>23</v>
      </c>
      <c r="F28" s="8"/>
      <c r="G28" s="4" t="s">
        <v>113</v>
      </c>
    </row>
    <row r="29" customFormat="false" ht="15" hidden="false" customHeight="false" outlineLevel="0" collapsed="false">
      <c r="A29" s="4" t="s">
        <v>114</v>
      </c>
      <c r="B29" s="5" t="s">
        <v>115</v>
      </c>
      <c r="C29" s="11" t="n">
        <v>0.03</v>
      </c>
      <c r="D29" s="5" t="s">
        <v>47</v>
      </c>
      <c r="E29" s="10" t="s">
        <v>23</v>
      </c>
      <c r="F29" s="8"/>
      <c r="G29" s="4"/>
    </row>
    <row r="30" customFormat="false" ht="15" hidden="false" customHeight="false" outlineLevel="0" collapsed="false">
      <c r="A30" s="4" t="s">
        <v>116</v>
      </c>
      <c r="B30" s="5" t="s">
        <v>117</v>
      </c>
      <c r="C30" s="9" t="n">
        <v>190</v>
      </c>
      <c r="D30" s="5" t="s">
        <v>35</v>
      </c>
      <c r="E30" s="10" t="s">
        <v>23</v>
      </c>
      <c r="F30" s="8"/>
      <c r="G30" s="4" t="s">
        <v>118</v>
      </c>
    </row>
    <row r="31" customFormat="false" ht="15" hidden="false" customHeight="false" outlineLevel="0" collapsed="false">
      <c r="A31" s="4" t="s">
        <v>119</v>
      </c>
      <c r="B31" s="5" t="s">
        <v>120</v>
      </c>
      <c r="C31" s="11" t="n">
        <v>0.025</v>
      </c>
      <c r="D31" s="5" t="s">
        <v>27</v>
      </c>
      <c r="E31" s="10" t="s">
        <v>23</v>
      </c>
      <c r="F31" s="8"/>
      <c r="G31" s="4" t="s">
        <v>121</v>
      </c>
    </row>
    <row r="32" customFormat="false" ht="15" hidden="false" customHeight="false" outlineLevel="0" collapsed="false">
      <c r="A32" s="4" t="s">
        <v>122</v>
      </c>
      <c r="B32" s="5" t="s">
        <v>123</v>
      </c>
      <c r="C32" s="6" t="n">
        <v>4</v>
      </c>
      <c r="D32" s="5" t="s">
        <v>124</v>
      </c>
      <c r="E32" s="10" t="s">
        <v>23</v>
      </c>
      <c r="F32" s="8"/>
      <c r="G32" s="4" t="s">
        <v>125</v>
      </c>
    </row>
    <row r="33" customFormat="false" ht="15" hidden="false" customHeight="false" outlineLevel="0" collapsed="false">
      <c r="A33" s="4" t="s">
        <v>126</v>
      </c>
      <c r="B33" s="5" t="s">
        <v>127</v>
      </c>
      <c r="C33" s="11" t="n">
        <v>0.02</v>
      </c>
      <c r="D33" s="5" t="s">
        <v>27</v>
      </c>
      <c r="E33" s="10" t="s">
        <v>23</v>
      </c>
      <c r="F33" s="8"/>
      <c r="G33" s="4" t="s">
        <v>128</v>
      </c>
    </row>
    <row r="34" customFormat="false" ht="15" hidden="false" customHeight="false" outlineLevel="0" collapsed="false">
      <c r="A34" s="4" t="s">
        <v>129</v>
      </c>
      <c r="B34" s="5" t="s">
        <v>130</v>
      </c>
      <c r="C34" s="6" t="n">
        <v>5</v>
      </c>
      <c r="D34" s="5"/>
      <c r="E34" s="10" t="s">
        <v>23</v>
      </c>
      <c r="F34" s="8"/>
      <c r="G34" s="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N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15" min="3" style="0" width="13"/>
  </cols>
  <sheetData>
    <row r="1" customFormat="false" ht="17.35" hidden="false" customHeight="false" outlineLevel="0" collapsed="false">
      <c r="B1" s="1" t="s">
        <v>131</v>
      </c>
    </row>
    <row r="4" customFormat="false" ht="15" hidden="false" customHeight="false" outlineLevel="0" collapsed="false">
      <c r="B4" s="3" t="s">
        <v>132</v>
      </c>
      <c r="C4" s="3" t="n">
        <v>0</v>
      </c>
      <c r="D4" s="3" t="n">
        <v>1</v>
      </c>
      <c r="E4" s="3" t="n">
        <v>2</v>
      </c>
      <c r="F4" s="3" t="n">
        <v>3</v>
      </c>
      <c r="G4" s="3" t="n">
        <v>4</v>
      </c>
      <c r="H4" s="3" t="n">
        <v>5</v>
      </c>
      <c r="I4" s="3" t="n">
        <v>6</v>
      </c>
      <c r="J4" s="3" t="n">
        <v>7</v>
      </c>
      <c r="K4" s="3" t="n">
        <v>8</v>
      </c>
      <c r="L4" s="3" t="n">
        <v>9</v>
      </c>
      <c r="M4" s="3" t="n">
        <v>10</v>
      </c>
      <c r="N4" s="3" t="n">
        <v>11</v>
      </c>
    </row>
    <row r="5" customFormat="false" ht="15" hidden="false" customHeight="false" outlineLevel="0" collapsed="false">
      <c r="B5" s="0" t="s">
        <v>133</v>
      </c>
      <c r="C5" s="13" t="s">
        <v>134</v>
      </c>
      <c r="D5" s="13" t="s">
        <v>135</v>
      </c>
      <c r="E5" s="13" t="s">
        <v>136</v>
      </c>
      <c r="F5" s="13" t="s">
        <v>137</v>
      </c>
      <c r="G5" s="13" t="s">
        <v>138</v>
      </c>
      <c r="H5" s="13" t="s">
        <v>139</v>
      </c>
      <c r="I5" s="13" t="s">
        <v>140</v>
      </c>
      <c r="J5" s="13" t="s">
        <v>141</v>
      </c>
      <c r="K5" s="13" t="s">
        <v>142</v>
      </c>
      <c r="L5" s="13" t="s">
        <v>143</v>
      </c>
      <c r="M5" s="13" t="s">
        <v>144</v>
      </c>
      <c r="N5" s="13" t="s">
        <v>145</v>
      </c>
    </row>
    <row r="7" customFormat="false" ht="15" hidden="false" customHeight="false" outlineLevel="0" collapsed="false">
      <c r="B7" s="14" t="s">
        <v>146</v>
      </c>
    </row>
    <row r="8" customFormat="false" ht="15" hidden="false" customHeight="false" outlineLevel="0" collapsed="false">
      <c r="B8" s="2" t="s">
        <v>147</v>
      </c>
      <c r="C8" s="15" t="n">
        <v>0</v>
      </c>
      <c r="D8" s="15" t="n">
        <f aca="false">(opex+reserve)*(1+opgrow)^(D$4-1)+taxval*(1+opgrow)^(D$4-1)*taxrate</f>
        <v>16.8025525</v>
      </c>
      <c r="E8" s="15" t="n">
        <f aca="false">(opex+reserve)*(1+opgrow)^(E$4-1)+taxval*(1+opgrow)^(E$4-1)*taxrate</f>
        <v>17.306629075</v>
      </c>
      <c r="F8" s="15" t="n">
        <f aca="false">(opex+reserve)*(1+opgrow)^(F$4-1)+taxval*(1+opgrow)^(F$4-1)*taxrate</f>
        <v>17.82582794725</v>
      </c>
      <c r="G8" s="15" t="n">
        <f aca="false">(opex+reserve)*(1+opgrow)^(G$4-1)+taxval*(1+opgrow)^(G$4-1)*taxrate</f>
        <v>18.3606027856675</v>
      </c>
      <c r="H8" s="15" t="n">
        <f aca="false">(opex+reserve)*(1+opgrow)^(H$4-1)+taxval*(1+opgrow)^(H$4-1)*taxrate</f>
        <v>18.9114208692375</v>
      </c>
      <c r="I8" s="15" t="n">
        <f aca="false">(opex+reserve)*(1+opgrow)^(I$4-1)+taxval*(1+opgrow)^(I$4-1)*taxrate</f>
        <v>19.4787634953147</v>
      </c>
      <c r="J8" s="15" t="n">
        <f aca="false">(opex+reserve)*(1+opgrow)^(J$4-1)+taxval*(1+opgrow)^(J$4-1)*taxrate</f>
        <v>20.0631264001741</v>
      </c>
      <c r="K8" s="15" t="n">
        <f aca="false">(opex+reserve)*(1+opgrow)^(K$4-1)+taxval*(1+opgrow)^(K$4-1)*taxrate</f>
        <v>20.6650201921793</v>
      </c>
      <c r="L8" s="15" t="n">
        <f aca="false">(opex+reserve)*(1+opgrow)^(L$4-1)+taxval*(1+opgrow)^(L$4-1)*taxrate</f>
        <v>21.2849707979447</v>
      </c>
      <c r="M8" s="15" t="n">
        <f aca="false">(opex+reserve)*(1+opgrow)^(M$4-1)+taxval*(1+opgrow)^(M$4-1)*taxrate</f>
        <v>21.923519921883</v>
      </c>
      <c r="N8" s="15" t="n">
        <f aca="false">(opex+reserve)*(1+opgrow)^(N$4-1)+taxval*(1+opgrow)^(N$4-1)*taxrate</f>
        <v>22.5812255195395</v>
      </c>
    </row>
    <row r="9" customFormat="false" ht="15" hidden="false" customHeight="false" outlineLevel="0" collapsed="false">
      <c r="B9" s="2" t="s">
        <v>148</v>
      </c>
      <c r="C9" s="15" t="n">
        <v>0</v>
      </c>
      <c r="D9" s="15" t="n">
        <f aca="false">rent0*(1+mktgrow)^(D$4-1)</f>
        <v>42</v>
      </c>
      <c r="E9" s="15" t="n">
        <f aca="false">rent0*(1+mktgrow)^(E$4-1)</f>
        <v>43.05</v>
      </c>
      <c r="F9" s="15" t="n">
        <f aca="false">rent0*(1+mktgrow)^(F$4-1)</f>
        <v>44.12625</v>
      </c>
      <c r="G9" s="15" t="n">
        <f aca="false">rent0*(1+mktgrow)^(G$4-1)</f>
        <v>45.22940625</v>
      </c>
      <c r="H9" s="15" t="n">
        <f aca="false">rent0*(1+mktgrow)^(H$4-1)</f>
        <v>46.36014140625</v>
      </c>
      <c r="I9" s="15" t="n">
        <f aca="false">rent0*(1+mktgrow)^(I$4-1)</f>
        <v>47.5191449414062</v>
      </c>
      <c r="J9" s="15" t="n">
        <f aca="false">rent0*(1+mktgrow)^(J$4-1)</f>
        <v>48.7071235649414</v>
      </c>
      <c r="K9" s="15" t="n">
        <f aca="false">rent0*(1+mktgrow)^(K$4-1)</f>
        <v>49.9248016540649</v>
      </c>
      <c r="L9" s="15" t="n">
        <f aca="false">rent0*(1+mktgrow)^(L$4-1)</f>
        <v>51.1729216954165</v>
      </c>
      <c r="M9" s="15" t="n">
        <f aca="false">rent0*(1+mktgrow)^(M$4-1)</f>
        <v>52.4522447378019</v>
      </c>
      <c r="N9" s="15" t="n">
        <f aca="false">rent0*(1+mktgrow)^(N$4-1)</f>
        <v>53.763550856247</v>
      </c>
    </row>
    <row r="10" customFormat="false" ht="15" hidden="false" customHeight="false" outlineLevel="0" collapsed="false">
      <c r="B10" s="2" t="s">
        <v>149</v>
      </c>
      <c r="C10" s="15" t="n">
        <v>0</v>
      </c>
      <c r="D10" s="15" t="n">
        <f aca="false">D9-D8</f>
        <v>25.1974475</v>
      </c>
      <c r="E10" s="15" t="n">
        <f aca="false">E9-E8</f>
        <v>25.743370925</v>
      </c>
      <c r="F10" s="15" t="n">
        <f aca="false">F9-F8</f>
        <v>26.30042205275</v>
      </c>
      <c r="G10" s="15" t="n">
        <f aca="false">G9-G8</f>
        <v>26.8688034643325</v>
      </c>
      <c r="H10" s="15" t="n">
        <f aca="false">H9-H8</f>
        <v>27.4487205370125</v>
      </c>
      <c r="I10" s="15" t="n">
        <f aca="false">I9-I8</f>
        <v>28.0403814460916</v>
      </c>
      <c r="J10" s="15" t="n">
        <f aca="false">J9-J8</f>
        <v>28.6439971647673</v>
      </c>
      <c r="K10" s="15" t="n">
        <f aca="false">K9-K8</f>
        <v>29.2597814618856</v>
      </c>
      <c r="L10" s="15" t="n">
        <f aca="false">L9-L8</f>
        <v>29.8879508974718</v>
      </c>
      <c r="M10" s="15" t="n">
        <f aca="false">M9-M8</f>
        <v>30.5287248159189</v>
      </c>
      <c r="N10" s="15" t="n">
        <f aca="false">N9-N8</f>
        <v>31.1823253367075</v>
      </c>
    </row>
    <row r="12" customFormat="false" ht="15" hidden="false" customHeight="false" outlineLevel="0" collapsed="false">
      <c r="B12" s="14" t="s">
        <v>150</v>
      </c>
    </row>
    <row r="13" customFormat="false" ht="15" hidden="false" customHeight="false" outlineLevel="0" collapsed="false">
      <c r="B13" s="2" t="s">
        <v>151</v>
      </c>
      <c r="C13" s="16" t="n">
        <f aca="false">0</f>
        <v>0</v>
      </c>
      <c r="D13" s="16" t="n">
        <f aca="false">rent0*sf*(12-free)/12</f>
        <v>280000</v>
      </c>
      <c r="E13" s="16" t="n">
        <f aca="false">rent0*(1+esc)^(E$4-1)*sf</f>
        <v>865200</v>
      </c>
      <c r="F13" s="16" t="n">
        <f aca="false">rent0*(1+esc)^(F$4-1)*sf</f>
        <v>891156</v>
      </c>
      <c r="G13" s="16" t="n">
        <f aca="false">rent0*(1+esc)^(G$4-1)*sf</f>
        <v>917890.68</v>
      </c>
      <c r="H13" s="16" t="n">
        <f aca="false">rent0*(1+esc)^(H$4-1)*sf</f>
        <v>945427.4004</v>
      </c>
      <c r="I13" s="16" t="n">
        <f aca="false">rent0*(1+esc)^(I$4-1)*sf</f>
        <v>973790.222412</v>
      </c>
      <c r="J13" s="16" t="n">
        <f aca="false">rent0*(1+esc)^(J$4-1)*sf</f>
        <v>1003003.92908436</v>
      </c>
      <c r="K13" s="16" t="n">
        <f aca="false">rent0*(1+esc)^(K$4-1)*sf</f>
        <v>1033094.04695689</v>
      </c>
      <c r="L13" s="16" t="n">
        <f aca="false">rent0*(1+esc)^(L$4-1)*sf</f>
        <v>1064086.8683656</v>
      </c>
      <c r="M13" s="16" t="n">
        <f aca="false">rent0*(1+esc)^(M$4-1)*sf</f>
        <v>1096009.47441657</v>
      </c>
    </row>
    <row r="14" customFormat="false" ht="15" hidden="false" customHeight="false" outlineLevel="0" collapsed="false">
      <c r="B14" s="2" t="s">
        <v>152</v>
      </c>
      <c r="C14" s="16" t="n">
        <f aca="false">(fit-ti)*sf</f>
        <v>1135400</v>
      </c>
      <c r="D14" s="16" t="n">
        <f aca="false">0</f>
        <v>0</v>
      </c>
      <c r="E14" s="16" t="n">
        <f aca="false">0</f>
        <v>0</v>
      </c>
      <c r="F14" s="16" t="n">
        <f aca="false">0</f>
        <v>0</v>
      </c>
      <c r="G14" s="16" t="n">
        <f aca="false">0</f>
        <v>0</v>
      </c>
      <c r="H14" s="16" t="n">
        <f aca="false">0</f>
        <v>0</v>
      </c>
      <c r="I14" s="16" t="n">
        <f aca="false">0</f>
        <v>0</v>
      </c>
      <c r="J14" s="16" t="n">
        <f aca="false">0</f>
        <v>0</v>
      </c>
      <c r="K14" s="16" t="n">
        <f aca="false">0</f>
        <v>0</v>
      </c>
      <c r="L14" s="16" t="n">
        <f aca="false">0</f>
        <v>0</v>
      </c>
      <c r="M14" s="16" t="n">
        <f aca="false">0</f>
        <v>0</v>
      </c>
    </row>
    <row r="15" customFormat="false" ht="15" hidden="false" customHeight="false" outlineLevel="0" collapsed="false">
      <c r="B15" s="2" t="s">
        <v>153</v>
      </c>
      <c r="C15" s="16" t="n">
        <f aca="false">-C13-C14</f>
        <v>-1135400</v>
      </c>
      <c r="D15" s="16" t="n">
        <f aca="false">-D13-D14</f>
        <v>-280000</v>
      </c>
      <c r="E15" s="16" t="n">
        <f aca="false">-E13-E14</f>
        <v>-865200</v>
      </c>
      <c r="F15" s="16" t="n">
        <f aca="false">-F13-F14</f>
        <v>-891156</v>
      </c>
      <c r="G15" s="16" t="n">
        <f aca="false">-G13-G14</f>
        <v>-917890.68</v>
      </c>
      <c r="H15" s="16" t="n">
        <f aca="false">-H13-H14</f>
        <v>-945427.4004</v>
      </c>
      <c r="I15" s="16" t="n">
        <f aca="false">-I13-I14</f>
        <v>-973790.222412</v>
      </c>
      <c r="J15" s="16" t="n">
        <f aca="false">-J13-J14</f>
        <v>-1003003.92908436</v>
      </c>
      <c r="K15" s="16" t="n">
        <f aca="false">-K13-K14</f>
        <v>-1033094.04695689</v>
      </c>
      <c r="L15" s="16" t="n">
        <f aca="false">-L13-L14</f>
        <v>-1064086.8683656</v>
      </c>
      <c r="M15" s="16" t="n">
        <f aca="false">-M13-M14</f>
        <v>-1096009.47441657</v>
      </c>
    </row>
    <row r="16" customFormat="false" ht="15" hidden="false" customHeight="false" outlineLevel="0" collapsed="false">
      <c r="B16" s="2" t="s">
        <v>154</v>
      </c>
      <c r="C16" s="16" t="n">
        <f aca="false">tax*C13+IF(C$4=1,tax*(fit-ti)*sf,0)</f>
        <v>0</v>
      </c>
      <c r="D16" s="16" t="n">
        <f aca="false">tax*D13+IF(D$4=1,tax*(fit-ti)*sf,0)</f>
        <v>297234</v>
      </c>
      <c r="E16" s="16" t="n">
        <f aca="false">tax*E13+IF(E$4=1,tax*(fit-ti)*sf,0)</f>
        <v>181692</v>
      </c>
      <c r="F16" s="16" t="n">
        <f aca="false">tax*F13+IF(F$4=1,tax*(fit-ti)*sf,0)</f>
        <v>187142.76</v>
      </c>
      <c r="G16" s="16" t="n">
        <f aca="false">tax*G13+IF(G$4=1,tax*(fit-ti)*sf,0)</f>
        <v>192757.0428</v>
      </c>
      <c r="H16" s="16" t="n">
        <f aca="false">tax*H13+IF(H$4=1,tax*(fit-ti)*sf,0)</f>
        <v>198539.754084</v>
      </c>
      <c r="I16" s="16" t="n">
        <f aca="false">tax*I13+IF(I$4=1,tax*(fit-ti)*sf,0)</f>
        <v>204495.94670652</v>
      </c>
      <c r="J16" s="16" t="n">
        <f aca="false">tax*J13+IF(J$4=1,tax*(fit-ti)*sf,0)</f>
        <v>210630.825107716</v>
      </c>
      <c r="K16" s="16" t="n">
        <f aca="false">tax*K13+IF(K$4=1,tax*(fit-ti)*sf,0)</f>
        <v>216949.749860947</v>
      </c>
      <c r="L16" s="16" t="n">
        <f aca="false">tax*L13+IF(L$4=1,tax*(fit-ti)*sf,0)</f>
        <v>223458.242356776</v>
      </c>
      <c r="M16" s="16" t="n">
        <f aca="false">tax*M13+IF(M$4=1,tax*(fit-ti)*sf,0)</f>
        <v>230161.989627479</v>
      </c>
    </row>
    <row r="17" customFormat="false" ht="15" hidden="false" customHeight="false" outlineLevel="0" collapsed="false">
      <c r="B17" s="17" t="s">
        <v>155</v>
      </c>
      <c r="C17" s="18" t="n">
        <f aca="false">C15+C16</f>
        <v>-1135400</v>
      </c>
      <c r="D17" s="18" t="n">
        <f aca="false">D15+D16</f>
        <v>17234</v>
      </c>
      <c r="E17" s="18" t="n">
        <f aca="false">E15+E16</f>
        <v>-683508</v>
      </c>
      <c r="F17" s="18" t="n">
        <f aca="false">F15+F16</f>
        <v>-704013.24</v>
      </c>
      <c r="G17" s="18" t="n">
        <f aca="false">G15+G16</f>
        <v>-725133.6372</v>
      </c>
      <c r="H17" s="18" t="n">
        <f aca="false">H15+H16</f>
        <v>-746887.646316</v>
      </c>
      <c r="I17" s="18" t="n">
        <f aca="false">I15+I16</f>
        <v>-769294.27570548</v>
      </c>
      <c r="J17" s="18" t="n">
        <f aca="false">J15+J16</f>
        <v>-792373.103976645</v>
      </c>
      <c r="K17" s="18" t="n">
        <f aca="false">K15+K16</f>
        <v>-816144.297095944</v>
      </c>
      <c r="L17" s="18" t="n">
        <f aca="false">L15+L16</f>
        <v>-840628.626008822</v>
      </c>
      <c r="M17" s="18" t="n">
        <f aca="false">M15+M16</f>
        <v>-865847.484789087</v>
      </c>
    </row>
    <row r="19" customFormat="false" ht="15" hidden="false" customHeight="false" outlineLevel="0" collapsed="false">
      <c r="B19" s="14" t="s">
        <v>156</v>
      </c>
    </row>
    <row r="20" customFormat="false" ht="15" hidden="false" customHeight="false" outlineLevel="0" collapsed="false">
      <c r="B20" s="2" t="s">
        <v>43</v>
      </c>
      <c r="C20" s="16" t="n">
        <f aca="false">price*sf</f>
        <v>3800000</v>
      </c>
    </row>
    <row r="21" customFormat="false" ht="15" hidden="false" customHeight="false" outlineLevel="0" collapsed="false">
      <c r="B21" s="2" t="s">
        <v>157</v>
      </c>
      <c r="C21" s="16" t="n">
        <f aca="false">C20*(1+close)</f>
        <v>3876000</v>
      </c>
    </row>
    <row r="22" customFormat="false" ht="15" hidden="false" customHeight="false" outlineLevel="0" collapsed="false">
      <c r="B22" s="2" t="s">
        <v>158</v>
      </c>
      <c r="C22" s="16" t="n">
        <f aca="false">C21+base*sf+fit*sf</f>
        <v>7011400</v>
      </c>
    </row>
    <row r="23" customFormat="false" ht="15" hidden="false" customHeight="false" outlineLevel="0" collapsed="false">
      <c r="B23" s="2" t="s">
        <v>159</v>
      </c>
      <c r="C23" s="16" t="n">
        <f aca="false">C22*bank_pct</f>
        <v>3505700</v>
      </c>
    </row>
    <row r="24" customFormat="false" ht="15" hidden="false" customHeight="false" outlineLevel="0" collapsed="false">
      <c r="B24" s="2" t="s">
        <v>160</v>
      </c>
      <c r="C24" s="16" t="n">
        <f aca="false">C22*cdc_pct</f>
        <v>2804560</v>
      </c>
    </row>
    <row r="25" customFormat="false" ht="15" hidden="false" customHeight="false" outlineLevel="0" collapsed="false">
      <c r="B25" s="2" t="s">
        <v>60</v>
      </c>
      <c r="C25" s="16" t="n">
        <f aca="false">C22-C23-C24</f>
        <v>701140</v>
      </c>
    </row>
    <row r="26" customFormat="false" ht="15" hidden="false" customHeight="false" outlineLevel="0" collapsed="false">
      <c r="B26" s="2" t="s">
        <v>161</v>
      </c>
      <c r="C26" s="16" t="n">
        <f aca="false">-PMT(bank_rate/12,amort*12,C23)</f>
        <v>25362.0305207705</v>
      </c>
    </row>
    <row r="27" customFormat="false" ht="15" hidden="false" customHeight="false" outlineLevel="0" collapsed="false">
      <c r="B27" s="2" t="s">
        <v>162</v>
      </c>
      <c r="C27" s="16" t="n">
        <f aca="false">-PMT(cdc_rate/12,amort*12,C24)</f>
        <v>19006.7485144819</v>
      </c>
    </row>
    <row r="28" customFormat="false" ht="15" hidden="false" customHeight="false" outlineLevel="0" collapsed="false">
      <c r="B28" s="2" t="s">
        <v>163</v>
      </c>
      <c r="C28" s="16" t="n">
        <f aca="false">(C21*bldg_share+base*sf)/bldg_life</f>
        <v>89764.1025641026</v>
      </c>
    </row>
    <row r="29" customFormat="false" ht="15" hidden="false" customHeight="false" outlineLevel="0" collapsed="false">
      <c r="B29" s="2" t="s">
        <v>164</v>
      </c>
      <c r="C29" s="16" t="n">
        <f aca="false">carry_m/12*(C23*bank_rate+C24*cdc_rate+D8*sf)</f>
        <v>257994.364666667</v>
      </c>
    </row>
    <row r="30" customFormat="false" ht="15" hidden="false" customHeight="false" outlineLevel="0" collapsed="false">
      <c r="B30" s="2" t="s">
        <v>165</v>
      </c>
      <c r="C30" s="16" t="n">
        <f aca="false">-FV(bank_rate/12,12*C$4,-$C$26,$C$23)</f>
        <v>3505700</v>
      </c>
      <c r="D30" s="16" t="n">
        <f aca="false">-FV(bank_rate/12,12*D$4,-$C$26,$C$23)</f>
        <v>3454177.44412377</v>
      </c>
      <c r="E30" s="16" t="n">
        <f aca="false">-FV(bank_rate/12,12*E$4,-$C$26,$C$23)</f>
        <v>3398787.33973013</v>
      </c>
      <c r="F30" s="16" t="n">
        <f aca="false">-FV(bank_rate/12,12*F$4,-$C$26,$C$23)</f>
        <v>3339239.36869958</v>
      </c>
      <c r="G30" s="16" t="n">
        <f aca="false">-FV(bank_rate/12,12*G$4,-$C$26,$C$23)</f>
        <v>3275221.42013865</v>
      </c>
      <c r="H30" s="16" t="n">
        <f aca="false">-FV(bank_rate/12,12*H$4,-$C$26,$C$23)</f>
        <v>3206397.95450209</v>
      </c>
      <c r="I30" s="16" t="n">
        <f aca="false">-FV(bank_rate/12,12*I$4,-$C$26,$C$23)</f>
        <v>3132408.24491743</v>
      </c>
      <c r="J30" s="16" t="n">
        <f aca="false">-FV(bank_rate/12,12*J$4,-$C$26,$C$23)</f>
        <v>3052864.48649454</v>
      </c>
      <c r="K30" s="16" t="n">
        <f aca="false">-FV(bank_rate/12,12*K$4,-$C$26,$C$23)</f>
        <v>2967349.76371002</v>
      </c>
      <c r="L30" s="16" t="n">
        <f aca="false">-FV(bank_rate/12,12*L$4,-$C$26,$C$23)</f>
        <v>2875415.86521309</v>
      </c>
      <c r="M30" s="16" t="n">
        <f aca="false">-FV(bank_rate/12,12*M$4,-$C$26,$C$23)</f>
        <v>2776580.93459956</v>
      </c>
    </row>
    <row r="31" customFormat="false" ht="15" hidden="false" customHeight="false" outlineLevel="0" collapsed="false">
      <c r="B31" s="2" t="s">
        <v>166</v>
      </c>
      <c r="C31" s="16" t="n">
        <f aca="false">-FV(cdc_rate/12,12*C$4,-$C$27,$C$24)</f>
        <v>2804560</v>
      </c>
      <c r="D31" s="16" t="n">
        <f aca="false">-FV(cdc_rate/12,12*D$4,-$C$27,$C$24)</f>
        <v>2758533.8538786</v>
      </c>
      <c r="E31" s="16" t="n">
        <f aca="false">-FV(cdc_rate/12,12*E$4,-$C$27,$C$24)</f>
        <v>2709405.7103357</v>
      </c>
      <c r="F31" s="16" t="n">
        <f aca="false">-FV(cdc_rate/12,12*F$4,-$C$27,$C$24)</f>
        <v>2656966.50585385</v>
      </c>
      <c r="G31" s="16" t="n">
        <f aca="false">-FV(cdc_rate/12,12*G$4,-$C$27,$C$24)</f>
        <v>2600993.08678321</v>
      </c>
      <c r="H31" s="16" t="n">
        <f aca="false">-FV(cdc_rate/12,12*H$4,-$C$27,$C$24)</f>
        <v>2541247.25971709</v>
      </c>
      <c r="I31" s="16" t="n">
        <f aca="false">-FV(cdc_rate/12,12*I$4,-$C$27,$C$24)</f>
        <v>2477474.77786621</v>
      </c>
      <c r="J31" s="16" t="n">
        <f aca="false">-FV(cdc_rate/12,12*J$4,-$C$27,$C$24)</f>
        <v>2409404.25911816</v>
      </c>
      <c r="K31" s="16" t="n">
        <f aca="false">-FV(cdc_rate/12,12*K$4,-$C$27,$C$24)</f>
        <v>2336746.03117805</v>
      </c>
      <c r="L31" s="16" t="n">
        <f aca="false">-FV(cdc_rate/12,12*L$4,-$C$27,$C$24)</f>
        <v>2259190.89887567</v>
      </c>
      <c r="M31" s="16" t="n">
        <f aca="false">-FV(cdc_rate/12,12*M$4,-$C$27,$C$24)</f>
        <v>2176408.8283936</v>
      </c>
    </row>
    <row r="32" customFormat="false" ht="15" hidden="false" customHeight="false" outlineLevel="0" collapsed="false">
      <c r="B32" s="2" t="s">
        <v>167</v>
      </c>
      <c r="C32" s="16" t="n">
        <f aca="false">0</f>
        <v>0</v>
      </c>
      <c r="D32" s="16" t="n">
        <f aca="false">($C$26+$C$27)*12</f>
        <v>532425.34842303</v>
      </c>
      <c r="E32" s="16" t="n">
        <f aca="false">($C$26+$C$27)*12</f>
        <v>532425.34842303</v>
      </c>
      <c r="F32" s="16" t="n">
        <f aca="false">($C$26+$C$27)*12</f>
        <v>532425.34842303</v>
      </c>
      <c r="G32" s="16" t="n">
        <f aca="false">($C$26+$C$27)*12</f>
        <v>532425.34842303</v>
      </c>
      <c r="H32" s="16" t="n">
        <f aca="false">($C$26+$C$27)*12</f>
        <v>532425.34842303</v>
      </c>
      <c r="I32" s="16" t="n">
        <f aca="false">($C$26+$C$27)*12</f>
        <v>532425.34842303</v>
      </c>
      <c r="J32" s="16" t="n">
        <f aca="false">($C$26+$C$27)*12</f>
        <v>532425.34842303</v>
      </c>
      <c r="K32" s="16" t="n">
        <f aca="false">($C$26+$C$27)*12</f>
        <v>532425.34842303</v>
      </c>
      <c r="L32" s="16" t="n">
        <f aca="false">($C$26+$C$27)*12</f>
        <v>532425.34842303</v>
      </c>
      <c r="M32" s="16" t="n">
        <f aca="false">($C$26+$C$27)*12</f>
        <v>532425.34842303</v>
      </c>
    </row>
    <row r="33" customFormat="false" ht="15" hidden="false" customHeight="false" outlineLevel="0" collapsed="false">
      <c r="B33" s="2" t="s">
        <v>168</v>
      </c>
      <c r="C33" s="16" t="n">
        <f aca="false">0</f>
        <v>0</v>
      </c>
      <c r="D33" s="16" t="n">
        <f aca="false">(C30-D30)+(C31-D31)</f>
        <v>97548.701997634</v>
      </c>
      <c r="E33" s="16" t="n">
        <f aca="false">(D30-E30)+(D31-E31)</f>
        <v>104518.247936536</v>
      </c>
      <c r="F33" s="16" t="n">
        <f aca="false">(E30-F30)+(E31-F31)</f>
        <v>111987.175512405</v>
      </c>
      <c r="G33" s="16" t="n">
        <f aca="false">(F30-G30)+(F31-G31)</f>
        <v>119991.36763156</v>
      </c>
      <c r="H33" s="16" t="n">
        <f aca="false">(G30-H30)+(G31-H31)</f>
        <v>128569.292702685</v>
      </c>
      <c r="I33" s="16" t="n">
        <f aca="false">(H30-I30)+(H31-I31)</f>
        <v>137762.191435539</v>
      </c>
      <c r="J33" s="16" t="n">
        <f aca="false">(I30-J30)+(I31-J31)</f>
        <v>147614.277170938</v>
      </c>
      <c r="K33" s="16" t="n">
        <f aca="false">(J30-K30)+(J31-K31)</f>
        <v>158172.950724634</v>
      </c>
      <c r="L33" s="16" t="n">
        <f aca="false">(K30-L30)+(K31-L31)</f>
        <v>169489.030799317</v>
      </c>
      <c r="M33" s="16" t="n">
        <f aca="false">(L30-M30)+(L31-M31)</f>
        <v>181617.001095601</v>
      </c>
    </row>
    <row r="34" customFormat="false" ht="15" hidden="false" customHeight="false" outlineLevel="0" collapsed="false">
      <c r="B34" s="2" t="s">
        <v>169</v>
      </c>
      <c r="C34" s="16" t="n">
        <f aca="false">C32-C33</f>
        <v>0</v>
      </c>
      <c r="D34" s="16" t="n">
        <f aca="false">D32-D33</f>
        <v>434876.646425396</v>
      </c>
      <c r="E34" s="16" t="n">
        <f aca="false">E32-E33</f>
        <v>427907.100486494</v>
      </c>
      <c r="F34" s="16" t="n">
        <f aca="false">F32-F33</f>
        <v>420438.172910625</v>
      </c>
      <c r="G34" s="16" t="n">
        <f aca="false">G32-G33</f>
        <v>412433.98079147</v>
      </c>
      <c r="H34" s="16" t="n">
        <f aca="false">H32-H33</f>
        <v>403856.055720345</v>
      </c>
      <c r="I34" s="16" t="n">
        <f aca="false">I32-I33</f>
        <v>394663.156987491</v>
      </c>
      <c r="J34" s="16" t="n">
        <f aca="false">J32-J33</f>
        <v>384811.071252092</v>
      </c>
      <c r="K34" s="16" t="n">
        <f aca="false">K32-K33</f>
        <v>374252.397698396</v>
      </c>
      <c r="L34" s="16" t="n">
        <f aca="false">L32-L33</f>
        <v>362936.317623713</v>
      </c>
      <c r="M34" s="16" t="n">
        <f aca="false">M32-M33</f>
        <v>350808.347327429</v>
      </c>
    </row>
    <row r="35" customFormat="false" ht="15" hidden="false" customHeight="false" outlineLevel="0" collapsed="false">
      <c r="B35" s="2" t="s">
        <v>170</v>
      </c>
      <c r="C35" s="16" t="n">
        <f aca="false">0</f>
        <v>0</v>
      </c>
      <c r="D35" s="16" t="n">
        <f aca="false">D8*sf</f>
        <v>336051.05</v>
      </c>
      <c r="E35" s="16" t="n">
        <f aca="false">E8*sf</f>
        <v>346132.5815</v>
      </c>
      <c r="F35" s="16" t="n">
        <f aca="false">F8*sf</f>
        <v>356516.558945</v>
      </c>
      <c r="G35" s="16" t="n">
        <f aca="false">G8*sf</f>
        <v>367212.05571335</v>
      </c>
      <c r="H35" s="16" t="n">
        <f aca="false">H8*sf</f>
        <v>378228.417384751</v>
      </c>
      <c r="I35" s="16" t="n">
        <f aca="false">I8*sf</f>
        <v>389575.269906293</v>
      </c>
      <c r="J35" s="16" t="n">
        <f aca="false">J8*sf</f>
        <v>401262.528003482</v>
      </c>
      <c r="K35" s="16" t="n">
        <f aca="false">K8*sf</f>
        <v>413300.403843586</v>
      </c>
      <c r="L35" s="16" t="n">
        <f aca="false">L8*sf</f>
        <v>425699.415958894</v>
      </c>
      <c r="M35" s="16" t="n">
        <f aca="false">M8*sf</f>
        <v>438470.398437661</v>
      </c>
    </row>
    <row r="36" customFormat="false" ht="15" hidden="false" customHeight="false" outlineLevel="0" collapsed="false">
      <c r="B36" s="2" t="s">
        <v>171</v>
      </c>
      <c r="C36" s="16" t="n">
        <f aca="false">0</f>
        <v>0</v>
      </c>
      <c r="D36" s="16" t="n">
        <f aca="false">$C$28+IF(D$4=1,fit*sf*bonus,0)+fit*sf*(1-bonus)/15</f>
        <v>2825164.1025641</v>
      </c>
      <c r="E36" s="16" t="n">
        <f aca="false">$C$28+IF(E$4=1,fit*sf*bonus,0)+fit*sf*(1-bonus)/15</f>
        <v>89764.1025641026</v>
      </c>
      <c r="F36" s="16" t="n">
        <f aca="false">$C$28+IF(F$4=1,fit*sf*bonus,0)+fit*sf*(1-bonus)/15</f>
        <v>89764.1025641026</v>
      </c>
      <c r="G36" s="16" t="n">
        <f aca="false">$C$28+IF(G$4=1,fit*sf*bonus,0)+fit*sf*(1-bonus)/15</f>
        <v>89764.1025641026</v>
      </c>
      <c r="H36" s="16" t="n">
        <f aca="false">$C$28+IF(H$4=1,fit*sf*bonus,0)+fit*sf*(1-bonus)/15</f>
        <v>89764.1025641026</v>
      </c>
      <c r="I36" s="16" t="n">
        <f aca="false">$C$28+IF(I$4=1,fit*sf*bonus,0)+fit*sf*(1-bonus)/15</f>
        <v>89764.1025641026</v>
      </c>
      <c r="J36" s="16" t="n">
        <f aca="false">$C$28+IF(J$4=1,fit*sf*bonus,0)+fit*sf*(1-bonus)/15</f>
        <v>89764.1025641026</v>
      </c>
      <c r="K36" s="16" t="n">
        <f aca="false">$C$28+IF(K$4=1,fit*sf*bonus,0)+fit*sf*(1-bonus)/15</f>
        <v>89764.1025641026</v>
      </c>
      <c r="L36" s="16" t="n">
        <f aca="false">$C$28+IF(L$4=1,fit*sf*bonus,0)+fit*sf*(1-bonus)/15</f>
        <v>89764.1025641026</v>
      </c>
      <c r="M36" s="16" t="n">
        <f aca="false">$C$28+IF(M$4=1,fit*sf*bonus,0)+fit*sf*(1-bonus)/15</f>
        <v>89764.1025641026</v>
      </c>
    </row>
    <row r="37" customFormat="false" ht="15" hidden="false" customHeight="false" outlineLevel="0" collapsed="false">
      <c r="B37" s="2" t="s">
        <v>172</v>
      </c>
      <c r="C37" s="16" t="n">
        <f aca="false">-$C$25-$C$29</f>
        <v>-959134.364666667</v>
      </c>
      <c r="D37" s="16" t="n">
        <f aca="false">-(D32+D35)</f>
        <v>-868476.39842303</v>
      </c>
      <c r="E37" s="16" t="n">
        <f aca="false">-(E32+E35)</f>
        <v>-878557.92992303</v>
      </c>
      <c r="F37" s="16" t="n">
        <f aca="false">-(F32+F35)</f>
        <v>-888941.90736803</v>
      </c>
      <c r="G37" s="16" t="n">
        <f aca="false">-(G32+G35)</f>
        <v>-899637.40413638</v>
      </c>
      <c r="H37" s="16" t="n">
        <f aca="false">-(H32+H35)</f>
        <v>-910653.76580778</v>
      </c>
      <c r="I37" s="16" t="n">
        <f aca="false">-(I32+I35)</f>
        <v>-922000.618329323</v>
      </c>
      <c r="J37" s="16" t="n">
        <f aca="false">-(J32+J35)</f>
        <v>-933687.876426512</v>
      </c>
      <c r="K37" s="16" t="n">
        <f aca="false">-(K32+K35)</f>
        <v>-945725.752266616</v>
      </c>
      <c r="L37" s="16" t="n">
        <f aca="false">-(L32+L35)</f>
        <v>-958124.764381924</v>
      </c>
      <c r="M37" s="16" t="n">
        <f aca="false">-(M32+M35)</f>
        <v>-970895.746860691</v>
      </c>
    </row>
    <row r="38" customFormat="false" ht="15" hidden="false" customHeight="false" outlineLevel="0" collapsed="false">
      <c r="B38" s="2" t="s">
        <v>173</v>
      </c>
      <c r="C38" s="16" t="n">
        <f aca="false">tax*$C$29</f>
        <v>54178.81658</v>
      </c>
      <c r="D38" s="16" t="n">
        <f aca="false">tax*(D34+D35+D36)</f>
        <v>755179.277787795</v>
      </c>
      <c r="E38" s="16" t="n">
        <f aca="false">tax*(E34+E35+E36)</f>
        <v>181398.794755625</v>
      </c>
      <c r="F38" s="16" t="n">
        <f aca="false">tax*(F34+F35+F36)</f>
        <v>182010.955228143</v>
      </c>
      <c r="G38" s="16" t="n">
        <f aca="false">tax*(G34+G35+G36)</f>
        <v>182576.129204474</v>
      </c>
      <c r="H38" s="16" t="n">
        <f aca="false">tax*(H34+H35+H36)</f>
        <v>183088.200890532</v>
      </c>
      <c r="I38" s="16" t="n">
        <f aca="false">tax*(I34+I35+I36)</f>
        <v>183540.531186156</v>
      </c>
      <c r="J38" s="16" t="n">
        <f aca="false">tax*(J34+J35+J36)</f>
        <v>183925.917382132</v>
      </c>
      <c r="K38" s="16" t="n">
        <f aca="false">tax*(K34+K35+K36)</f>
        <v>184236.549862278</v>
      </c>
      <c r="L38" s="16" t="n">
        <f aca="false">tax*(L34+L35+L36)</f>
        <v>184463.965590809</v>
      </c>
      <c r="M38" s="16" t="n">
        <f aca="false">tax*(M34+M35+M36)</f>
        <v>184598.99814913</v>
      </c>
    </row>
    <row r="40" customFormat="false" ht="15" hidden="false" customHeight="false" outlineLevel="0" collapsed="false">
      <c r="B40" s="2" t="s">
        <v>174</v>
      </c>
      <c r="M40" s="16" t="n">
        <f aca="false">user_val*(1+exit_grow)^10*sf</f>
        <v>4864321.26794616</v>
      </c>
    </row>
    <row r="41" customFormat="false" ht="15" hidden="false" customHeight="false" outlineLevel="0" collapsed="false">
      <c r="B41" s="2" t="s">
        <v>175</v>
      </c>
      <c r="M41" s="16" t="n">
        <f aca="false">M40*(1-sale_cost)</f>
        <v>4718391.62990777</v>
      </c>
    </row>
    <row r="42" customFormat="false" ht="15" hidden="false" customHeight="false" outlineLevel="0" collapsed="false">
      <c r="B42" s="2" t="s">
        <v>176</v>
      </c>
      <c r="M42" s="16" t="n">
        <f aca="false">$C$22-SUM(C36:M36)</f>
        <v>3378358.97435897</v>
      </c>
    </row>
    <row r="43" customFormat="false" ht="15" hidden="false" customHeight="false" outlineLevel="0" collapsed="false">
      <c r="B43" s="2" t="s">
        <v>177</v>
      </c>
      <c r="M43" s="16" t="n">
        <f aca="false">M41-M42</f>
        <v>1340032.6555488</v>
      </c>
    </row>
    <row r="44" customFormat="false" ht="15" hidden="false" customHeight="false" outlineLevel="0" collapsed="false">
      <c r="B44" s="2" t="s">
        <v>178</v>
      </c>
      <c r="M44" s="16" t="n">
        <f aca="false">tax*M43</f>
        <v>281406.857665247</v>
      </c>
    </row>
    <row r="45" customFormat="false" ht="15" hidden="false" customHeight="false" outlineLevel="0" collapsed="false">
      <c r="B45" s="2" t="s">
        <v>179</v>
      </c>
      <c r="M45" s="16" t="n">
        <f aca="false">M30+M31</f>
        <v>4952989.76299315</v>
      </c>
    </row>
    <row r="46" customFormat="false" ht="15" hidden="false" customHeight="false" outlineLevel="0" collapsed="false">
      <c r="B46" s="2" t="s">
        <v>180</v>
      </c>
      <c r="M46" s="16" t="n">
        <f aca="false">M41-M45-M44</f>
        <v>-516004.990750629</v>
      </c>
    </row>
    <row r="47" customFormat="false" ht="15" hidden="false" customHeight="false" outlineLevel="0" collapsed="false">
      <c r="B47" s="17" t="s">
        <v>181</v>
      </c>
      <c r="C47" s="18" t="n">
        <f aca="false">C37+C38</f>
        <v>-904955.548086667</v>
      </c>
      <c r="D47" s="18" t="n">
        <f aca="false">D37+D38</f>
        <v>-113297.120635235</v>
      </c>
      <c r="E47" s="18" t="n">
        <f aca="false">E37+E38</f>
        <v>-697159.135167405</v>
      </c>
      <c r="F47" s="18" t="n">
        <f aca="false">F37+F38</f>
        <v>-706930.952139887</v>
      </c>
      <c r="G47" s="18" t="n">
        <f aca="false">G37+G38</f>
        <v>-717061.274931906</v>
      </c>
      <c r="H47" s="18" t="n">
        <f aca="false">H37+H38</f>
        <v>-727565.564917249</v>
      </c>
      <c r="I47" s="18" t="n">
        <f aca="false">I37+I38</f>
        <v>-738460.087143167</v>
      </c>
      <c r="J47" s="18" t="n">
        <f aca="false">J37+J38</f>
        <v>-749761.95904438</v>
      </c>
      <c r="K47" s="18" t="n">
        <f aca="false">K37+K38</f>
        <v>-761489.202404338</v>
      </c>
      <c r="L47" s="18" t="n">
        <f aca="false">L37+L38</f>
        <v>-773660.798791115</v>
      </c>
      <c r="M47" s="18" t="n">
        <f aca="false">M37+M38+M46</f>
        <v>-1302301.73946219</v>
      </c>
    </row>
    <row r="49" customFormat="false" ht="15" hidden="false" customHeight="false" outlineLevel="0" collapsed="false">
      <c r="B49" s="14" t="s">
        <v>182</v>
      </c>
    </row>
    <row r="50" customFormat="false" ht="15" hidden="false" customHeight="false" outlineLevel="0" collapsed="false">
      <c r="B50" s="2" t="s">
        <v>183</v>
      </c>
      <c r="C50" s="19" t="n">
        <f aca="false">slb_year</f>
        <v>5</v>
      </c>
    </row>
    <row r="51" customFormat="false" ht="15" hidden="false" customHeight="false" outlineLevel="0" collapsed="false">
      <c r="B51" s="2" t="s">
        <v>184</v>
      </c>
      <c r="C51" s="16" t="n">
        <f aca="false">INDEX($C$10:$N$10,1,C50+2)*sf/exit_cap</f>
        <v>7010095.36152289</v>
      </c>
    </row>
    <row r="52" customFormat="false" ht="15" hidden="false" customHeight="false" outlineLevel="0" collapsed="false">
      <c r="B52" s="2" t="s">
        <v>175</v>
      </c>
      <c r="C52" s="16" t="n">
        <f aca="false">C51*(1-sale_cost)</f>
        <v>6799792.50067721</v>
      </c>
    </row>
    <row r="53" customFormat="false" ht="15" hidden="false" customHeight="false" outlineLevel="0" collapsed="false">
      <c r="B53" s="2" t="s">
        <v>185</v>
      </c>
      <c r="C53" s="16" t="n">
        <f aca="false">SUMPRODUCT(($D$4:$M$4&lt;=C50)*$D$36:$M$36)</f>
        <v>3184220.51282051</v>
      </c>
    </row>
    <row r="54" customFormat="false" ht="15" hidden="false" customHeight="false" outlineLevel="0" collapsed="false">
      <c r="B54" s="2" t="s">
        <v>177</v>
      </c>
      <c r="C54" s="16" t="n">
        <f aca="false">C52-($C$22-C53)</f>
        <v>2972613.01349772</v>
      </c>
    </row>
    <row r="55" customFormat="false" ht="15" hidden="false" customHeight="false" outlineLevel="0" collapsed="false">
      <c r="B55" s="2" t="s">
        <v>178</v>
      </c>
      <c r="C55" s="16" t="n">
        <f aca="false">tax*C54</f>
        <v>624248.732834521</v>
      </c>
    </row>
    <row r="56" customFormat="false" ht="15" hidden="false" customHeight="false" outlineLevel="0" collapsed="false">
      <c r="B56" s="2" t="s">
        <v>179</v>
      </c>
      <c r="C56" s="16" t="n">
        <f aca="false">INDEX($C$30:$M$30,1,C50+1)+INDEX($C$31:$M$31,1,C50+1)</f>
        <v>5747645.21421918</v>
      </c>
    </row>
    <row r="57" customFormat="false" ht="15" hidden="false" customHeight="false" outlineLevel="0" collapsed="false">
      <c r="B57" s="2" t="s">
        <v>186</v>
      </c>
      <c r="C57" s="16" t="n">
        <f aca="false">C52-C56-C55</f>
        <v>427898.553623505</v>
      </c>
    </row>
    <row r="58" customFormat="false" ht="15" hidden="false" customHeight="false" outlineLevel="0" collapsed="false">
      <c r="B58" s="2" t="s">
        <v>187</v>
      </c>
      <c r="C58" s="16" t="n">
        <f aca="false">INDEX($C$10:$N$10,1,C50+2)*sf</f>
        <v>560807.628921832</v>
      </c>
    </row>
    <row r="60" customFormat="false" ht="15" hidden="false" customHeight="false" outlineLevel="0" collapsed="false">
      <c r="B60" s="2" t="s">
        <v>188</v>
      </c>
      <c r="C60" s="16" t="n">
        <f aca="false">IF(C$4&gt;$C$50,$C$58*(1+slb_esc)^(C$4-$C$50-1),0)</f>
        <v>0</v>
      </c>
      <c r="D60" s="16" t="n">
        <f aca="false">IF(D$4&gt;$C$50,$C$58*(1+slb_esc)^(D$4-$C$50-1),0)</f>
        <v>0</v>
      </c>
      <c r="E60" s="16" t="n">
        <f aca="false">IF(E$4&gt;$C$50,$C$58*(1+slb_esc)^(E$4-$C$50-1),0)</f>
        <v>0</v>
      </c>
      <c r="F60" s="16" t="n">
        <f aca="false">IF(F$4&gt;$C$50,$C$58*(1+slb_esc)^(F$4-$C$50-1),0)</f>
        <v>0</v>
      </c>
      <c r="G60" s="16" t="n">
        <f aca="false">IF(G$4&gt;$C$50,$C$58*(1+slb_esc)^(G$4-$C$50-1),0)</f>
        <v>0</v>
      </c>
      <c r="H60" s="16" t="n">
        <f aca="false">IF(H$4&gt;$C$50,$C$58*(1+slb_esc)^(H$4-$C$50-1),0)</f>
        <v>0</v>
      </c>
      <c r="I60" s="16" t="n">
        <f aca="false">IF(I$4&gt;$C$50,$C$58*(1+slb_esc)^(I$4-$C$50-1),0)</f>
        <v>560807.628921832</v>
      </c>
      <c r="J60" s="16" t="n">
        <f aca="false">IF(J$4&gt;$C$50,$C$58*(1+slb_esc)^(J$4-$C$50-1),0)</f>
        <v>572023.781500268</v>
      </c>
      <c r="K60" s="16" t="n">
        <f aca="false">IF(K$4&gt;$C$50,$C$58*(1+slb_esc)^(K$4-$C$50-1),0)</f>
        <v>583464.257130274</v>
      </c>
      <c r="L60" s="16" t="n">
        <f aca="false">IF(L$4&gt;$C$50,$C$58*(1+slb_esc)^(L$4-$C$50-1),0)</f>
        <v>595133.542272879</v>
      </c>
      <c r="M60" s="16" t="n">
        <f aca="false">IF(M$4&gt;$C$50,$C$58*(1+slb_esc)^(M$4-$C$50-1),0)</f>
        <v>607036.213118337</v>
      </c>
    </row>
    <row r="61" customFormat="false" ht="15" hidden="false" customHeight="false" outlineLevel="0" collapsed="false">
      <c r="B61" s="2" t="s">
        <v>189</v>
      </c>
      <c r="C61" s="16" t="n">
        <f aca="false">-$C$25-$C$29</f>
        <v>-959134.364666667</v>
      </c>
      <c r="D61" s="16" t="n">
        <f aca="false">IF(D$4&lt;=$C$50,-(D32+D35),-(D60+D35))</f>
        <v>-868476.39842303</v>
      </c>
      <c r="E61" s="16" t="n">
        <f aca="false">IF(E$4&lt;=$C$50,-(E32+E35),-(E60+E35))</f>
        <v>-878557.92992303</v>
      </c>
      <c r="F61" s="16" t="n">
        <f aca="false">IF(F$4&lt;=$C$50,-(F32+F35),-(F60+F35))</f>
        <v>-888941.90736803</v>
      </c>
      <c r="G61" s="16" t="n">
        <f aca="false">IF(G$4&lt;=$C$50,-(G32+G35),-(G60+G35))</f>
        <v>-899637.40413638</v>
      </c>
      <c r="H61" s="16" t="n">
        <f aca="false">IF(H$4&lt;=$C$50,-(H32+H35),-(H60+H35))</f>
        <v>-910653.76580778</v>
      </c>
      <c r="I61" s="16" t="n">
        <f aca="false">IF(I$4&lt;=$C$50,-(I32+I35),-(I60+I35))</f>
        <v>-950382.898828125</v>
      </c>
      <c r="J61" s="16" t="n">
        <f aca="false">IF(J$4&lt;=$C$50,-(J32+J35),-(J60+J35))</f>
        <v>-973286.30950375</v>
      </c>
      <c r="K61" s="16" t="n">
        <f aca="false">IF(K$4&lt;=$C$50,-(K32+K35),-(K60+K35))</f>
        <v>-996764.66097386</v>
      </c>
      <c r="L61" s="16" t="n">
        <f aca="false">IF(L$4&lt;=$C$50,-(L32+L35),-(L60+L35))</f>
        <v>-1020832.95823177</v>
      </c>
      <c r="M61" s="16" t="n">
        <f aca="false">IF(M$4&lt;=$C$50,-(M32+M35),-(M60+M35))</f>
        <v>-1045506.611556</v>
      </c>
    </row>
    <row r="62" customFormat="false" ht="15" hidden="false" customHeight="false" outlineLevel="0" collapsed="false">
      <c r="B62" s="2" t="s">
        <v>154</v>
      </c>
      <c r="C62" s="16" t="n">
        <f aca="false">IF(C$4&lt;=$C$50,C38,tax*(C60+C35))</f>
        <v>54178.81658</v>
      </c>
      <c r="D62" s="16" t="n">
        <f aca="false">IF(D$4&lt;=$C$50,D38,tax*(D60+D35))</f>
        <v>755179.277787795</v>
      </c>
      <c r="E62" s="16" t="n">
        <f aca="false">IF(E$4&lt;=$C$50,E38,tax*(E60+E35))</f>
        <v>181398.794755625</v>
      </c>
      <c r="F62" s="16" t="n">
        <f aca="false">IF(F$4&lt;=$C$50,F38,tax*(F60+F35))</f>
        <v>182010.955228143</v>
      </c>
      <c r="G62" s="16" t="n">
        <f aca="false">IF(G$4&lt;=$C$50,G38,tax*(G60+G35))</f>
        <v>182576.129204474</v>
      </c>
      <c r="H62" s="16" t="n">
        <f aca="false">IF(H$4&lt;=$C$50,H38,tax*(H60+H35))</f>
        <v>183088.200890532</v>
      </c>
      <c r="I62" s="16" t="n">
        <f aca="false">IF(I$4&lt;=$C$50,I38,tax*(I60+I35))</f>
        <v>199580.408753906</v>
      </c>
      <c r="J62" s="16" t="n">
        <f aca="false">IF(J$4&lt;=$C$50,J38,tax*(J60+J35))</f>
        <v>204390.124995787</v>
      </c>
      <c r="K62" s="16" t="n">
        <f aca="false">IF(K$4&lt;=$C$50,K38,tax*(K60+K35))</f>
        <v>209320.578804511</v>
      </c>
      <c r="L62" s="16" t="n">
        <f aca="false">IF(L$4&lt;=$C$50,L38,tax*(L60+L35))</f>
        <v>214374.921228672</v>
      </c>
      <c r="M62" s="16" t="n">
        <f aca="false">IF(M$4&lt;=$C$50,M38,tax*(M60+M35))</f>
        <v>219556.388426759</v>
      </c>
    </row>
    <row r="63" customFormat="false" ht="15" hidden="false" customHeight="false" outlineLevel="0" collapsed="false">
      <c r="B63" s="2" t="s">
        <v>190</v>
      </c>
      <c r="C63" s="16" t="n">
        <f aca="false">IF(C$4=$C$50,$C$57,0)</f>
        <v>0</v>
      </c>
      <c r="D63" s="16" t="n">
        <f aca="false">IF(D$4=$C$50,$C$57,0)</f>
        <v>0</v>
      </c>
      <c r="E63" s="16" t="n">
        <f aca="false">IF(E$4=$C$50,$C$57,0)</f>
        <v>0</v>
      </c>
      <c r="F63" s="16" t="n">
        <f aca="false">IF(F$4=$C$50,$C$57,0)</f>
        <v>0</v>
      </c>
      <c r="G63" s="16" t="n">
        <f aca="false">IF(G$4=$C$50,$C$57,0)</f>
        <v>0</v>
      </c>
      <c r="H63" s="16" t="n">
        <f aca="false">IF(H$4=$C$50,$C$57,0)</f>
        <v>427898.553623505</v>
      </c>
      <c r="I63" s="16" t="n">
        <f aca="false">IF(I$4=$C$50,$C$57,0)</f>
        <v>0</v>
      </c>
      <c r="J63" s="16" t="n">
        <f aca="false">IF(J$4=$C$50,$C$57,0)</f>
        <v>0</v>
      </c>
      <c r="K63" s="16" t="n">
        <f aca="false">IF(K$4=$C$50,$C$57,0)</f>
        <v>0</v>
      </c>
      <c r="L63" s="16" t="n">
        <f aca="false">IF(L$4=$C$50,$C$57,0)</f>
        <v>0</v>
      </c>
      <c r="M63" s="16" t="n">
        <f aca="false">IF(M$4=$C$50,$C$57,0)</f>
        <v>0</v>
      </c>
    </row>
    <row r="64" customFormat="false" ht="15" hidden="false" customHeight="false" outlineLevel="0" collapsed="false">
      <c r="B64" s="17" t="s">
        <v>191</v>
      </c>
      <c r="C64" s="18" t="n">
        <f aca="false">C61+C62+C63</f>
        <v>-904955.548086667</v>
      </c>
      <c r="D64" s="18" t="n">
        <f aca="false">D61+D62+D63</f>
        <v>-113297.120635235</v>
      </c>
      <c r="E64" s="18" t="n">
        <f aca="false">E61+E62+E63</f>
        <v>-697159.135167405</v>
      </c>
      <c r="F64" s="18" t="n">
        <f aca="false">F61+F62+F63</f>
        <v>-706930.952139887</v>
      </c>
      <c r="G64" s="18" t="n">
        <f aca="false">G61+G62+G63</f>
        <v>-717061.274931906</v>
      </c>
      <c r="H64" s="18" t="n">
        <f aca="false">H61+H62+H63</f>
        <v>-299667.011293744</v>
      </c>
      <c r="I64" s="18" t="n">
        <f aca="false">I61+I62+I63</f>
        <v>-750802.490074218</v>
      </c>
      <c r="J64" s="18" t="n">
        <f aca="false">J61+J62+J63</f>
        <v>-768896.184507962</v>
      </c>
      <c r="K64" s="18" t="n">
        <f aca="false">K61+K62+K63</f>
        <v>-787444.082169349</v>
      </c>
      <c r="L64" s="18" t="n">
        <f aca="false">L61+L62+L63</f>
        <v>-806458.037003101</v>
      </c>
      <c r="M64" s="18" t="n">
        <f aca="false">M61+M62+M63</f>
        <v>-825950.223129238</v>
      </c>
    </row>
    <row r="66" customFormat="false" ht="15" hidden="false" customHeight="false" outlineLevel="0" collapsed="false">
      <c r="B66" s="14" t="s">
        <v>192</v>
      </c>
    </row>
    <row r="67" customFormat="false" ht="15" hidden="false" customHeight="false" outlineLevel="0" collapsed="false">
      <c r="B67" s="3" t="s">
        <v>193</v>
      </c>
      <c r="C67" s="3" t="s">
        <v>194</v>
      </c>
      <c r="D67" s="3" t="s">
        <v>195</v>
      </c>
      <c r="E67" s="3" t="s">
        <v>196</v>
      </c>
    </row>
    <row r="68" customFormat="false" ht="15" hidden="false" customHeight="false" outlineLevel="0" collapsed="false">
      <c r="B68" s="20" t="s">
        <v>197</v>
      </c>
      <c r="C68" s="21" t="n">
        <f aca="false">SUM(C17:M17)</f>
        <v>-8061996.31109198</v>
      </c>
      <c r="D68" s="21" t="n">
        <f aca="false">C17+NPV(disc,D17:M17)</f>
        <v>-5515266.86559471</v>
      </c>
      <c r="E68" s="21" t="n">
        <f aca="false">D68-$D$68</f>
        <v>0</v>
      </c>
    </row>
    <row r="69" customFormat="false" ht="15" hidden="false" customHeight="false" outlineLevel="0" collapsed="false">
      <c r="B69" s="20" t="s">
        <v>198</v>
      </c>
      <c r="C69" s="21" t="n">
        <f aca="false">SUM(C47:M47)</f>
        <v>-8192643.38272354</v>
      </c>
      <c r="D69" s="21" t="n">
        <f aca="false">C47+NPV(disc,D47:M47)</f>
        <v>-5495460.44559592</v>
      </c>
      <c r="E69" s="21" t="n">
        <f aca="false">D69-$D$68</f>
        <v>19806.4199987892</v>
      </c>
    </row>
    <row r="70" customFormat="false" ht="15" hidden="false" customHeight="false" outlineLevel="0" collapsed="false">
      <c r="B70" s="20" t="s">
        <v>199</v>
      </c>
      <c r="C70" s="21" t="n">
        <f aca="false">SUM(C64:M64)</f>
        <v>-7378622.05913871</v>
      </c>
      <c r="D70" s="21" t="n">
        <f aca="false">C64+NPV(disc,D64:M64)</f>
        <v>-5032968.80226704</v>
      </c>
      <c r="E70" s="21" t="n">
        <f aca="false">D70-$D$68</f>
        <v>482298.063327663</v>
      </c>
    </row>
    <row r="72" customFormat="false" ht="15" hidden="false" customHeight="false" outlineLevel="0" collapsed="false">
      <c r="B72" s="13" t="s">
        <v>200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G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26"/>
    <col collapsed="false" customWidth="true" hidden="false" outlineLevel="0" max="8" min="3" style="0" width="15"/>
  </cols>
  <sheetData>
    <row r="1" customFormat="false" ht="17.35" hidden="false" customHeight="false" outlineLevel="0" collapsed="false">
      <c r="B1" s="1" t="s">
        <v>201</v>
      </c>
    </row>
    <row r="2" customFormat="false" ht="15" hidden="false" customHeight="false" outlineLevel="0" collapsed="false">
      <c r="B2" s="13" t="s">
        <v>202</v>
      </c>
    </row>
    <row r="4" customFormat="false" ht="15" hidden="false" customHeight="false" outlineLevel="0" collapsed="false">
      <c r="B4" s="20" t="s">
        <v>203</v>
      </c>
    </row>
    <row r="5" customFormat="false" ht="15" hidden="false" customHeight="false" outlineLevel="0" collapsed="false">
      <c r="B5" s="3" t="s">
        <v>204</v>
      </c>
      <c r="C5" s="22" t="n">
        <v>160</v>
      </c>
      <c r="D5" s="22" t="n">
        <v>190</v>
      </c>
      <c r="E5" s="22" t="n">
        <v>243.216063397308</v>
      </c>
      <c r="F5" s="22" t="n">
        <v>300</v>
      </c>
      <c r="G5" s="22" t="n">
        <v>389.779066708843</v>
      </c>
    </row>
    <row r="6" customFormat="false" ht="15" hidden="false" customHeight="false" outlineLevel="0" collapsed="false">
      <c r="B6" s="22" t="n">
        <v>150</v>
      </c>
      <c r="C6" s="16" t="n">
        <f aca="false">SensCalc!$D$11</f>
        <v>54190.2760236543</v>
      </c>
      <c r="D6" s="16" t="n">
        <f aca="false">SensCalc!$D$19</f>
        <v>267157.377975231</v>
      </c>
      <c r="E6" s="16" t="n">
        <f aca="false">SensCalc!$D$27</f>
        <v>644933.071275096</v>
      </c>
      <c r="F6" s="16" t="n">
        <f aca="false">SensCalc!$D$35</f>
        <v>1048036.75179768</v>
      </c>
      <c r="G6" s="16" t="n">
        <f aca="false">SensCalc!$D$43</f>
        <v>1685369.67356099</v>
      </c>
    </row>
    <row r="7" customFormat="false" ht="15" hidden="false" customHeight="false" outlineLevel="0" collapsed="false">
      <c r="B7" s="22" t="n">
        <v>170</v>
      </c>
      <c r="C7" s="16" t="n">
        <f aca="false">SensCalc!$D$51</f>
        <v>-258373.049614499</v>
      </c>
      <c r="D7" s="16" t="n">
        <f aca="false">SensCalc!$D$59</f>
        <v>-45405.9476629235</v>
      </c>
      <c r="E7" s="16" t="n">
        <f aca="false">SensCalc!$D$67</f>
        <v>332369.745636942</v>
      </c>
      <c r="F7" s="16" t="n">
        <f aca="false">SensCalc!$D$75</f>
        <v>735473.426159522</v>
      </c>
      <c r="G7" s="16" t="n">
        <f aca="false">SensCalc!$D$83</f>
        <v>1372806.34792284</v>
      </c>
    </row>
    <row r="8" customFormat="false" ht="15" hidden="false" customHeight="false" outlineLevel="0" collapsed="false">
      <c r="B8" s="22" t="n">
        <v>190</v>
      </c>
      <c r="C8" s="16" t="n">
        <f aca="false">SensCalc!$D$91</f>
        <v>-570936.375252653</v>
      </c>
      <c r="D8" s="16" t="n">
        <f aca="false">SensCalc!$D$99</f>
        <v>-357969.273301077</v>
      </c>
      <c r="E8" s="16" t="n">
        <f aca="false">SensCalc!$D$107</f>
        <v>19806.4199987892</v>
      </c>
      <c r="F8" s="16" t="n">
        <f aca="false">SensCalc!$D$115</f>
        <v>422910.100521369</v>
      </c>
      <c r="G8" s="16" t="n">
        <f aca="false">SensCalc!$D$123</f>
        <v>1060243.02228469</v>
      </c>
    </row>
    <row r="9" customFormat="false" ht="15" hidden="false" customHeight="false" outlineLevel="0" collapsed="false">
      <c r="B9" s="22" t="n">
        <v>210</v>
      </c>
      <c r="C9" s="16" t="n">
        <f aca="false">SensCalc!$D$131</f>
        <v>-883499.700890807</v>
      </c>
      <c r="D9" s="16" t="n">
        <f aca="false">SensCalc!$D$139</f>
        <v>-670532.598939231</v>
      </c>
      <c r="E9" s="16" t="n">
        <f aca="false">SensCalc!$D$147</f>
        <v>-292756.905639365</v>
      </c>
      <c r="F9" s="16" t="n">
        <f aca="false">SensCalc!$D$155</f>
        <v>110346.774883215</v>
      </c>
      <c r="G9" s="16" t="n">
        <f aca="false">SensCalc!$D$163</f>
        <v>747679.696646533</v>
      </c>
    </row>
    <row r="10" customFormat="false" ht="15" hidden="false" customHeight="false" outlineLevel="0" collapsed="false">
      <c r="B10" s="22" t="n">
        <v>230</v>
      </c>
      <c r="C10" s="16" t="n">
        <f aca="false">SensCalc!$D$171</f>
        <v>-1196063.02652896</v>
      </c>
      <c r="D10" s="16" t="n">
        <f aca="false">SensCalc!$D$179</f>
        <v>-983095.924577385</v>
      </c>
      <c r="E10" s="16" t="n">
        <f aca="false">SensCalc!$D$187</f>
        <v>-605320.23127752</v>
      </c>
      <c r="F10" s="16" t="n">
        <f aca="false">SensCalc!$D$195</f>
        <v>-202216.55075494</v>
      </c>
      <c r="G10" s="16" t="n">
        <f aca="false">SensCalc!$D$203</f>
        <v>435116.371008378</v>
      </c>
    </row>
    <row r="13" customFormat="false" ht="15" hidden="false" customHeight="false" outlineLevel="0" collapsed="false">
      <c r="B13" s="20" t="s">
        <v>205</v>
      </c>
    </row>
    <row r="14" customFormat="false" ht="15" hidden="false" customHeight="false" outlineLevel="0" collapsed="false">
      <c r="B14" s="3" t="s">
        <v>206</v>
      </c>
      <c r="C14" s="23" t="n">
        <v>-0.01</v>
      </c>
      <c r="D14" s="23" t="n">
        <v>-0.005</v>
      </c>
      <c r="E14" s="23" t="n">
        <v>0</v>
      </c>
      <c r="F14" s="23" t="n">
        <v>0.005</v>
      </c>
      <c r="G14" s="23" t="n">
        <v>0.01</v>
      </c>
    </row>
    <row r="15" customFormat="false" ht="15" hidden="false" customHeight="false" outlineLevel="0" collapsed="false">
      <c r="B15" s="22" t="n">
        <v>150</v>
      </c>
      <c r="C15" s="16" t="n">
        <f aca="false">SensCalc!$D$211</f>
        <v>921395.734007549</v>
      </c>
      <c r="D15" s="16" t="n">
        <f aca="false">SensCalc!$D$219</f>
        <v>784039.424993485</v>
      </c>
      <c r="E15" s="16" t="n">
        <f aca="false">SensCalc!$D$227</f>
        <v>644933.071275096</v>
      </c>
      <c r="F15" s="16" t="n">
        <f aca="false">SensCalc!$D$235</f>
        <v>504183.598315254</v>
      </c>
      <c r="G15" s="16" t="n">
        <f aca="false">SensCalc!$D$243</f>
        <v>361896.646449948</v>
      </c>
    </row>
    <row r="16" customFormat="false" ht="15" hidden="false" customHeight="false" outlineLevel="0" collapsed="false">
      <c r="B16" s="22" t="n">
        <v>170</v>
      </c>
      <c r="C16" s="16" t="n">
        <f aca="false">SensCalc!$D$251</f>
        <v>627038.943281562</v>
      </c>
      <c r="D16" s="16" t="n">
        <f aca="false">SensCalc!$D$259</f>
        <v>480636.99168143</v>
      </c>
      <c r="E16" s="16" t="n">
        <f aca="false">SensCalc!$D$267</f>
        <v>332369.745636942</v>
      </c>
      <c r="F16" s="16" t="n">
        <f aca="false">SensCalc!$D$275</f>
        <v>182351.172220694</v>
      </c>
      <c r="G16" s="16" t="n">
        <f aca="false">SensCalc!$D$283</f>
        <v>30693.8687459603</v>
      </c>
    </row>
    <row r="17" customFormat="false" ht="15" hidden="false" customHeight="false" outlineLevel="0" collapsed="false">
      <c r="B17" s="22" t="n">
        <v>190</v>
      </c>
      <c r="C17" s="16" t="n">
        <f aca="false">SensCalc!$D$291</f>
        <v>332682.152555577</v>
      </c>
      <c r="D17" s="16" t="n">
        <f aca="false">SensCalc!$D$299</f>
        <v>177234.558369373</v>
      </c>
      <c r="E17" s="16" t="n">
        <f aca="false">SensCalc!$D$307</f>
        <v>19806.4199987892</v>
      </c>
      <c r="F17" s="16" t="n">
        <f aca="false">SensCalc!$D$315</f>
        <v>-139481.253873866</v>
      </c>
      <c r="G17" s="16" t="n">
        <f aca="false">SensCalc!$D$323</f>
        <v>-300508.908958026</v>
      </c>
    </row>
    <row r="18" customFormat="false" ht="15" hidden="false" customHeight="false" outlineLevel="0" collapsed="false">
      <c r="B18" s="22" t="n">
        <v>210</v>
      </c>
      <c r="C18" s="16" t="n">
        <f aca="false">SensCalc!$D$331</f>
        <v>38325.3618295882</v>
      </c>
      <c r="D18" s="16" t="n">
        <f aca="false">SensCalc!$D$339</f>
        <v>-126167.874942685</v>
      </c>
      <c r="E18" s="16" t="n">
        <f aca="false">SensCalc!$D$347</f>
        <v>-292756.905639365</v>
      </c>
      <c r="F18" s="16" t="n">
        <f aca="false">SensCalc!$D$355</f>
        <v>-461313.679968425</v>
      </c>
      <c r="G18" s="16" t="n">
        <f aca="false">SensCalc!$D$363</f>
        <v>-631711.686662012</v>
      </c>
    </row>
    <row r="19" customFormat="false" ht="15" hidden="false" customHeight="false" outlineLevel="0" collapsed="false">
      <c r="B19" s="22" t="n">
        <v>230</v>
      </c>
      <c r="C19" s="16" t="n">
        <f aca="false">SensCalc!$D$371</f>
        <v>-256031.428896398</v>
      </c>
      <c r="D19" s="16" t="n">
        <f aca="false">SensCalc!$D$379</f>
        <v>-429570.308254741</v>
      </c>
      <c r="E19" s="16" t="n">
        <f aca="false">SensCalc!$D$387</f>
        <v>-605320.23127752</v>
      </c>
      <c r="F19" s="16" t="n">
        <f aca="false">SensCalc!$D$395</f>
        <v>-783146.106062985</v>
      </c>
      <c r="G19" s="16" t="n">
        <f aca="false">SensCalc!$D$403</f>
        <v>-962914.464366</v>
      </c>
    </row>
    <row r="22" customFormat="false" ht="15" hidden="false" customHeight="false" outlineLevel="0" collapsed="false">
      <c r="B22" s="20" t="s">
        <v>207</v>
      </c>
    </row>
    <row r="23" customFormat="false" ht="15" hidden="false" customHeight="false" outlineLevel="0" collapsed="false">
      <c r="B23" s="3" t="s">
        <v>208</v>
      </c>
      <c r="C23" s="24" t="n">
        <v>0.07</v>
      </c>
      <c r="D23" s="24" t="n">
        <v>0.075</v>
      </c>
      <c r="E23" s="24" t="n">
        <v>0.08</v>
      </c>
      <c r="F23" s="24" t="n">
        <v>0.085</v>
      </c>
      <c r="G23" s="24" t="n">
        <v>0.09</v>
      </c>
    </row>
    <row r="24" customFormat="false" ht="15" hidden="false" customHeight="false" outlineLevel="0" collapsed="false">
      <c r="B24" s="25" t="n">
        <v>3</v>
      </c>
      <c r="C24" s="16" t="n">
        <f aca="false">SensCalc!$D$408</f>
        <v>771667.715777461</v>
      </c>
      <c r="D24" s="16" t="n">
        <f aca="false">SensCalc!$D$413</f>
        <v>460340.86231197</v>
      </c>
      <c r="E24" s="16" t="n">
        <f aca="false">SensCalc!$D$418</f>
        <v>187929.865529663</v>
      </c>
      <c r="F24" s="16" t="n">
        <f aca="false">SensCalc!$D$423</f>
        <v>-52432.7786900196</v>
      </c>
      <c r="G24" s="16" t="n">
        <f aca="false">SensCalc!$D$428</f>
        <v>-266088.462440848</v>
      </c>
    </row>
    <row r="25" customFormat="false" ht="15" hidden="false" customHeight="false" outlineLevel="0" collapsed="false">
      <c r="B25" s="25" t="n">
        <v>5</v>
      </c>
      <c r="C25" s="16" t="n">
        <f aca="false">SensCalc!$D$433</f>
        <v>1004581.1162175</v>
      </c>
      <c r="D25" s="16" t="n">
        <f aca="false">SensCalc!$D$438</f>
        <v>726030.154676253</v>
      </c>
      <c r="E25" s="16" t="n">
        <f aca="false">SensCalc!$D$443</f>
        <v>482298.063327663</v>
      </c>
      <c r="F25" s="16" t="n">
        <f aca="false">SensCalc!$D$448</f>
        <v>267240.335667142</v>
      </c>
      <c r="G25" s="16" t="n">
        <f aca="false">SensCalc!$D$453</f>
        <v>76077.9110800121</v>
      </c>
    </row>
    <row r="26" customFormat="false" ht="15" hidden="false" customHeight="false" outlineLevel="0" collapsed="false">
      <c r="B26" s="25" t="n">
        <v>7</v>
      </c>
      <c r="C26" s="16" t="n">
        <f aca="false">SensCalc!$D$458</f>
        <v>1205668.08179911</v>
      </c>
      <c r="D26" s="16" t="n">
        <f aca="false">SensCalc!$D$463</f>
        <v>956470.219865731</v>
      </c>
      <c r="E26" s="16" t="n">
        <f aca="false">SensCalc!$D$468</f>
        <v>738422.090674027</v>
      </c>
      <c r="F26" s="16" t="n">
        <f aca="false">SensCalc!$D$473</f>
        <v>546026.682563698</v>
      </c>
      <c r="G26" s="16" t="n">
        <f aca="false">SensCalc!$D$478</f>
        <v>375008.542021185</v>
      </c>
    </row>
    <row r="29" customFormat="false" ht="15" hidden="false" customHeight="false" outlineLevel="0" collapsed="false">
      <c r="B29" s="13" t="s">
        <v>209</v>
      </c>
    </row>
  </sheetData>
  <conditionalFormatting sqref="C6:G10">
    <cfRule type="colorScale" priority="2">
      <colorScale>
        <cfvo type="min" val="0"/>
        <cfvo type="max" val="0"/>
        <color rgb="FFFFFFFF"/>
        <color rgb="FFE07A5F"/>
      </colorScale>
    </cfRule>
  </conditionalFormatting>
  <conditionalFormatting sqref="C15:G19">
    <cfRule type="colorScale" priority="3">
      <colorScale>
        <cfvo type="min" val="0"/>
        <cfvo type="max" val="0"/>
        <color rgb="FFFFFFFF"/>
        <color rgb="FFE07A5F"/>
      </colorScale>
    </cfRule>
  </conditionalFormatting>
  <conditionalFormatting sqref="C24:G26">
    <cfRule type="colorScale" priority="4">
      <colorScale>
        <cfvo type="min" val="0"/>
        <cfvo type="max" val="0"/>
        <color rgb="FFFFFFFF"/>
        <color rgb="FFE07A5F"/>
      </colorScale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M4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34"/>
    <col collapsed="false" customWidth="true" hidden="false" outlineLevel="0" max="15" min="3" style="0" width="12"/>
  </cols>
  <sheetData>
    <row r="1" customFormat="false" ht="17.35" hidden="false" customHeight="false" outlineLevel="0" collapsed="false">
      <c r="B1" s="1" t="s">
        <v>210</v>
      </c>
    </row>
    <row r="3" customFormat="false" ht="15" hidden="false" customHeight="false" outlineLevel="0" collapsed="false">
      <c r="B3" s="3" t="s">
        <v>132</v>
      </c>
      <c r="C3" s="3" t="n">
        <v>0</v>
      </c>
      <c r="D3" s="3" t="n">
        <v>1</v>
      </c>
      <c r="E3" s="3" t="n">
        <v>2</v>
      </c>
      <c r="F3" s="3" t="n">
        <v>3</v>
      </c>
      <c r="G3" s="3" t="n">
        <v>4</v>
      </c>
      <c r="H3" s="3" t="n">
        <v>5</v>
      </c>
      <c r="I3" s="3" t="n">
        <v>6</v>
      </c>
      <c r="J3" s="3" t="n">
        <v>7</v>
      </c>
      <c r="K3" s="3" t="n">
        <v>8</v>
      </c>
      <c r="L3" s="3" t="n">
        <v>9</v>
      </c>
      <c r="M3" s="3" t="n">
        <v>10</v>
      </c>
    </row>
    <row r="5" customFormat="false" ht="15" hidden="false" customHeight="false" outlineLevel="0" collapsed="false">
      <c r="B5" s="20" t="s">
        <v>211</v>
      </c>
      <c r="C5" s="13" t="s">
        <v>212</v>
      </c>
      <c r="D5" s="26" t="n">
        <f aca="false">Sensitivity!$B$6</f>
        <v>150</v>
      </c>
      <c r="E5" s="13" t="s">
        <v>213</v>
      </c>
      <c r="F5" s="26" t="n">
        <f aca="false">Sensitivity!C$5</f>
        <v>160</v>
      </c>
      <c r="G5" s="13" t="s">
        <v>214</v>
      </c>
      <c r="H5" s="27" t="n">
        <f aca="false">bank_rate</f>
        <v>0.0726</v>
      </c>
      <c r="I5" s="13" t="s">
        <v>215</v>
      </c>
      <c r="J5" s="27" t="n">
        <f aca="false">cdc_rate</f>
        <v>0.0654</v>
      </c>
    </row>
    <row r="6" customFormat="false" ht="15" hidden="false" customHeight="false" outlineLevel="0" collapsed="false">
      <c r="B6" s="13" t="s">
        <v>216</v>
      </c>
      <c r="C6" s="28" t="n">
        <f aca="false">$D$5*sf*(1+close)+base*sf+fit*sf</f>
        <v>6195400</v>
      </c>
      <c r="E6" s="28" t="n">
        <f aca="false">C6*bank_pct</f>
        <v>3097700</v>
      </c>
      <c r="G6" s="28" t="n">
        <f aca="false">C6*cdc_pct</f>
        <v>2478160</v>
      </c>
      <c r="I6" s="28" t="n">
        <f aca="false">-PMT($H$5/12,amort*12,E6)</f>
        <v>22410.3494150073</v>
      </c>
      <c r="K6" s="28" t="n">
        <f aca="false">-PMT($J$5/12,amort*12,G6)</f>
        <v>16794.7071550078</v>
      </c>
    </row>
    <row r="7" customFormat="false" ht="15" hidden="false" customHeight="false" outlineLevel="0" collapsed="false">
      <c r="B7" s="13" t="s">
        <v>217</v>
      </c>
      <c r="C7" s="28" t="n">
        <f aca="false">-FV($H$5/12,12*C$3,-$I$6,$E$6)-FV($J$5/12,12*C$3,-$K$6,$G$6)</f>
        <v>5575860</v>
      </c>
      <c r="D7" s="28" t="n">
        <f aca="false">-FV($H$5/12,12*D$3,-$I$6,$E$6)-FV($J$5/12,12*D$3,-$K$6,$G$6)</f>
        <v>5489664.20053682</v>
      </c>
      <c r="E7" s="28" t="n">
        <f aca="false">-FV($H$5/12,12*E$3,-$I$6,$E$6)-FV($J$5/12,12*E$3,-$K$6,$G$6)</f>
        <v>5397309.98407991</v>
      </c>
      <c r="F7" s="28" t="n">
        <f aca="false">-FV($H$5/12,12*F$3,-$I$6,$E$6)-FV($J$5/12,12*F$3,-$K$6,$G$6)</f>
        <v>5298356.0879722</v>
      </c>
      <c r="G7" s="28" t="n">
        <f aca="false">-FV($H$5/12,12*G$3,-$I$6,$E$6)-FV($J$5/12,12*G$3,-$K$6,$G$6)</f>
        <v>5192329.54277088</v>
      </c>
      <c r="H7" s="28" t="n">
        <f aca="false">-FV($H$5/12,12*H$3,-$I$6,$E$6)-FV($J$5/12,12*H$3,-$K$6,$G$6)</f>
        <v>5078723.38765061</v>
      </c>
      <c r="I7" s="28" t="n">
        <f aca="false">-FV($H$5/12,12*I$3,-$I$6,$E$6)-FV($J$5/12,12*I$3,-$K$6,$G$6)</f>
        <v>4956994.22074818</v>
      </c>
      <c r="J7" s="28" t="n">
        <f aca="false">-FV($H$5/12,12*J$3,-$I$6,$E$6)-FV($J$5/12,12*J$3,-$K$6,$G$6)</f>
        <v>4826559.57249179</v>
      </c>
      <c r="K7" s="28" t="n">
        <f aca="false">-FV($H$5/12,12*K$3,-$I$6,$E$6)-FV($J$5/12,12*K$3,-$K$6,$G$6)</f>
        <v>4686795.08909056</v>
      </c>
      <c r="L7" s="28" t="n">
        <f aca="false">-FV($H$5/12,12*L$3,-$I$6,$E$6)-FV($J$5/12,12*L$3,-$K$6,$G$6)</f>
        <v>4537031.51242768</v>
      </c>
      <c r="M7" s="28" t="n">
        <f aca="false">-FV($H$5/12,12*M$3,-$I$6,$E$6)-FV($J$5/12,12*M$3,-$K$6,$G$6)</f>
        <v>4376551.44160193</v>
      </c>
    </row>
    <row r="8" customFormat="false" ht="15" hidden="false" customHeight="false" outlineLevel="0" collapsed="false">
      <c r="B8" s="13" t="s">
        <v>169</v>
      </c>
      <c r="C8" s="28" t="n">
        <v>0</v>
      </c>
      <c r="D8" s="28" t="n">
        <f aca="false">(($I$6+$K$6)*12)-(C7-D7)</f>
        <v>384264.879376999</v>
      </c>
      <c r="E8" s="28" t="n">
        <f aca="false">(($I$6+$K$6)*12)-(D7-E7)</f>
        <v>378106.462383266</v>
      </c>
      <c r="F8" s="28" t="n">
        <f aca="false">(($I$6+$K$6)*12)-(E7-F7)</f>
        <v>371506.782732475</v>
      </c>
      <c r="G8" s="28" t="n">
        <f aca="false">(($I$6+$K$6)*12)-(F7-G7)</f>
        <v>364434.133638857</v>
      </c>
      <c r="H8" s="28" t="n">
        <f aca="false">(($I$6+$K$6)*12)-(G7-H7)</f>
        <v>356854.523719916</v>
      </c>
      <c r="I8" s="28" t="n">
        <f aca="false">(($I$6+$K$6)*12)-(H7-I7)</f>
        <v>348731.511937744</v>
      </c>
      <c r="J8" s="28" t="n">
        <f aca="false">(($I$6+$K$6)*12)-(I7-J7)</f>
        <v>340026.030583795</v>
      </c>
      <c r="K8" s="28" t="n">
        <f aca="false">(($I$6+$K$6)*12)-(J7-K7)</f>
        <v>330696.195438948</v>
      </c>
      <c r="L8" s="28" t="n">
        <f aca="false">(($I$6+$K$6)*12)-(K7-L7)</f>
        <v>320697.102177305</v>
      </c>
      <c r="M8" s="28" t="n">
        <f aca="false">(($I$6+$K$6)*12)-(L7-M7)</f>
        <v>309980.608014427</v>
      </c>
    </row>
    <row r="9" customFormat="false" ht="15" hidden="false" customHeight="false" outlineLevel="0" collapsed="false">
      <c r="B9" s="13" t="s">
        <v>171</v>
      </c>
      <c r="C9" s="28" t="n">
        <v>0</v>
      </c>
      <c r="D9" s="28" t="n">
        <f aca="false">(($D$5*sf*(1+close)*bldg_share+base*sf)/bldg_life)+IF(D$3=1,fit*sf*bonus,0)+fit*sf*(1-bonus)/15</f>
        <v>2808425.64102564</v>
      </c>
      <c r="E9" s="28" t="n">
        <f aca="false">(($D$5*sf*(1+close)*bldg_share+base*sf)/bldg_life)+IF(E$3=1,fit*sf*bonus,0)+fit*sf*(1-bonus)/15</f>
        <v>73025.641025641</v>
      </c>
      <c r="F9" s="28" t="n">
        <f aca="false">(($D$5*sf*(1+close)*bldg_share+base*sf)/bldg_life)+IF(F$3=1,fit*sf*bonus,0)+fit*sf*(1-bonus)/15</f>
        <v>73025.641025641</v>
      </c>
      <c r="G9" s="28" t="n">
        <f aca="false">(($D$5*sf*(1+close)*bldg_share+base*sf)/bldg_life)+IF(G$3=1,fit*sf*bonus,0)+fit*sf*(1-bonus)/15</f>
        <v>73025.641025641</v>
      </c>
      <c r="H9" s="28" t="n">
        <f aca="false">(($D$5*sf*(1+close)*bldg_share+base*sf)/bldg_life)+IF(H$3=1,fit*sf*bonus,0)+fit*sf*(1-bonus)/15</f>
        <v>73025.641025641</v>
      </c>
      <c r="I9" s="28" t="n">
        <f aca="false">(($D$5*sf*(1+close)*bldg_share+base*sf)/bldg_life)+IF(I$3=1,fit*sf*bonus,0)+fit*sf*(1-bonus)/15</f>
        <v>73025.641025641</v>
      </c>
      <c r="J9" s="28" t="n">
        <f aca="false">(($D$5*sf*(1+close)*bldg_share+base*sf)/bldg_life)+IF(J$3=1,fit*sf*bonus,0)+fit*sf*(1-bonus)/15</f>
        <v>73025.641025641</v>
      </c>
      <c r="K9" s="28" t="n">
        <f aca="false">(($D$5*sf*(1+close)*bldg_share+base*sf)/bldg_life)+IF(K$3=1,fit*sf*bonus,0)+fit*sf*(1-bonus)/15</f>
        <v>73025.641025641</v>
      </c>
      <c r="L9" s="28" t="n">
        <f aca="false">(($D$5*sf*(1+close)*bldg_share+base*sf)/bldg_life)+IF(L$3=1,fit*sf*bonus,0)+fit*sf*(1-bonus)/15</f>
        <v>73025.641025641</v>
      </c>
      <c r="M9" s="28" t="n">
        <f aca="false">(($D$5*sf*(1+close)*bldg_share+base*sf)/bldg_life)+IF(M$3=1,fit*sf*bonus,0)+fit*sf*(1-bonus)/15</f>
        <v>73025.641025641</v>
      </c>
    </row>
    <row r="10" customFormat="false" ht="15" hidden="false" customHeight="false" outlineLevel="0" collapsed="false">
      <c r="B10" s="13" t="s">
        <v>218</v>
      </c>
      <c r="C10" s="28" t="n">
        <f aca="false">-($C$6-$E$6-$G$6)-carry_m/12*($E$6*$H$5+$G$6*$J$5+Model!$D$8*sf)*(1-tax)</f>
        <v>-809934.143286667</v>
      </c>
      <c r="D10" s="28" t="n">
        <f aca="false">-((($I$6+$K$6)*12)+Model!D35)+tax*(D8+Model!D35+D9)</f>
        <v>-65475.9990556258</v>
      </c>
      <c r="E10" s="28" t="n">
        <f aca="false">-((($I$6+$K$6)*12)+Model!E35)+tax*(E8+Model!E35+E9)</f>
        <v>-649167.67650931</v>
      </c>
      <c r="F10" s="28" t="n">
        <f aca="false">-((($I$6+$K$6)*12)+Model!F35)+tax*(F8+Model!F35+F9)</f>
        <v>-658756.951417526</v>
      </c>
      <c r="G10" s="28" t="n">
        <f aca="false">-((($I$6+$K$6)*12)+Model!G35)+tax*(G8+Model!G35+G9)</f>
        <v>-668691.650174182</v>
      </c>
      <c r="H10" s="28" t="n">
        <f aca="false">-((($I$6+$K$6)*12)+Model!H35)+tax*(H8+Model!H35+H9)</f>
        <v>-678986.293977566</v>
      </c>
      <c r="I10" s="28" t="n">
        <f aca="false">-((($I$6+$K$6)*12)+Model!I35)+tax*(I8+Model!I35+I9)</f>
        <v>-689656.139943841</v>
      </c>
      <c r="J10" s="28" t="n">
        <f aca="false">-((($I$6+$K$6)*12)+Model!J35)+tax*(J8+Model!J35+J9)</f>
        <v>-700717.224924949</v>
      </c>
      <c r="K10" s="28" t="n">
        <f aca="false">-((($I$6+$K$6)*12)+Model!K35)+tax*(K8+Model!K35+K9)</f>
        <v>-712186.41221905</v>
      </c>
      <c r="L10" s="28" t="n">
        <f aca="false">-((($I$6+$K$6)*12)+Model!L35)+tax*(L8+Model!L35+L9)</f>
        <v>-724081.441375088</v>
      </c>
      <c r="M10" s="28" t="n">
        <f aca="false">-((($I$6+$K$6)*12)+Model!M35)+tax*(M8+Model!M35+M9)+($F$5*sf*(1-sale_cost)-M7-tax*($F$5*sf*(1-sale_cost)-($C$6-SUM($C9:$M9))))</f>
        <v>-2087566.26906329</v>
      </c>
    </row>
    <row r="11" customFormat="false" ht="15" hidden="false" customHeight="false" outlineLevel="0" collapsed="false">
      <c r="B11" s="20" t="s">
        <v>219</v>
      </c>
      <c r="C11" s="28" t="n">
        <f aca="false">C10+NPV(disc,D10:M10)</f>
        <v>-5461076.58957105</v>
      </c>
      <c r="D11" s="29" t="n">
        <f aca="false">C11-Model!$D$68</f>
        <v>54190.2760236543</v>
      </c>
    </row>
    <row r="13" customFormat="false" ht="15" hidden="false" customHeight="false" outlineLevel="0" collapsed="false">
      <c r="B13" s="20" t="s">
        <v>220</v>
      </c>
      <c r="C13" s="13" t="s">
        <v>212</v>
      </c>
      <c r="D13" s="26" t="n">
        <f aca="false">Sensitivity!$B$6</f>
        <v>150</v>
      </c>
      <c r="E13" s="13" t="s">
        <v>213</v>
      </c>
      <c r="F13" s="26" t="n">
        <f aca="false">Sensitivity!D$5</f>
        <v>190</v>
      </c>
      <c r="G13" s="13" t="s">
        <v>214</v>
      </c>
      <c r="H13" s="27" t="n">
        <f aca="false">bank_rate</f>
        <v>0.0726</v>
      </c>
      <c r="I13" s="13" t="s">
        <v>215</v>
      </c>
      <c r="J13" s="27" t="n">
        <f aca="false">cdc_rate</f>
        <v>0.0654</v>
      </c>
    </row>
    <row r="14" customFormat="false" ht="15" hidden="false" customHeight="false" outlineLevel="0" collapsed="false">
      <c r="B14" s="13" t="s">
        <v>216</v>
      </c>
      <c r="C14" s="28" t="n">
        <f aca="false">$D$13*sf*(1+close)+base*sf+fit*sf</f>
        <v>6195400</v>
      </c>
      <c r="E14" s="28" t="n">
        <f aca="false">C14*bank_pct</f>
        <v>3097700</v>
      </c>
      <c r="G14" s="28" t="n">
        <f aca="false">C14*cdc_pct</f>
        <v>2478160</v>
      </c>
      <c r="I14" s="28" t="n">
        <f aca="false">-PMT($H$13/12,amort*12,E14)</f>
        <v>22410.3494150073</v>
      </c>
      <c r="K14" s="28" t="n">
        <f aca="false">-PMT($J$13/12,amort*12,G14)</f>
        <v>16794.7071550078</v>
      </c>
    </row>
    <row r="15" customFormat="false" ht="15" hidden="false" customHeight="false" outlineLevel="0" collapsed="false">
      <c r="B15" s="13" t="s">
        <v>217</v>
      </c>
      <c r="C15" s="28" t="n">
        <f aca="false">-FV($H$13/12,12*C$3,-$I$14,$E$14)-FV($J$13/12,12*C$3,-$K$14,$G$14)</f>
        <v>5575860</v>
      </c>
      <c r="D15" s="28" t="n">
        <f aca="false">-FV($H$13/12,12*D$3,-$I$14,$E$14)-FV($J$13/12,12*D$3,-$K$14,$G$14)</f>
        <v>5489664.20053682</v>
      </c>
      <c r="E15" s="28" t="n">
        <f aca="false">-FV($H$13/12,12*E$3,-$I$14,$E$14)-FV($J$13/12,12*E$3,-$K$14,$G$14)</f>
        <v>5397309.98407991</v>
      </c>
      <c r="F15" s="28" t="n">
        <f aca="false">-FV($H$13/12,12*F$3,-$I$14,$E$14)-FV($J$13/12,12*F$3,-$K$14,$G$14)</f>
        <v>5298356.0879722</v>
      </c>
      <c r="G15" s="28" t="n">
        <f aca="false">-FV($H$13/12,12*G$3,-$I$14,$E$14)-FV($J$13/12,12*G$3,-$K$14,$G$14)</f>
        <v>5192329.54277088</v>
      </c>
      <c r="H15" s="28" t="n">
        <f aca="false">-FV($H$13/12,12*H$3,-$I$14,$E$14)-FV($J$13/12,12*H$3,-$K$14,$G$14)</f>
        <v>5078723.38765061</v>
      </c>
      <c r="I15" s="28" t="n">
        <f aca="false">-FV($H$13/12,12*I$3,-$I$14,$E$14)-FV($J$13/12,12*I$3,-$K$14,$G$14)</f>
        <v>4956994.22074818</v>
      </c>
      <c r="J15" s="28" t="n">
        <f aca="false">-FV($H$13/12,12*J$3,-$I$14,$E$14)-FV($J$13/12,12*J$3,-$K$14,$G$14)</f>
        <v>4826559.57249179</v>
      </c>
      <c r="K15" s="28" t="n">
        <f aca="false">-FV($H$13/12,12*K$3,-$I$14,$E$14)-FV($J$13/12,12*K$3,-$K$14,$G$14)</f>
        <v>4686795.08909056</v>
      </c>
      <c r="L15" s="28" t="n">
        <f aca="false">-FV($H$13/12,12*L$3,-$I$14,$E$14)-FV($J$13/12,12*L$3,-$K$14,$G$14)</f>
        <v>4537031.51242768</v>
      </c>
      <c r="M15" s="28" t="n">
        <f aca="false">-FV($H$13/12,12*M$3,-$I$14,$E$14)-FV($J$13/12,12*M$3,-$K$14,$G$14)</f>
        <v>4376551.44160193</v>
      </c>
    </row>
    <row r="16" customFormat="false" ht="15" hidden="false" customHeight="false" outlineLevel="0" collapsed="false">
      <c r="B16" s="13" t="s">
        <v>169</v>
      </c>
      <c r="C16" s="28" t="n">
        <v>0</v>
      </c>
      <c r="D16" s="28" t="n">
        <f aca="false">(($I$14+$K$14)*12)-(C15-D15)</f>
        <v>384264.879376999</v>
      </c>
      <c r="E16" s="28" t="n">
        <f aca="false">(($I$14+$K$14)*12)-(D15-E15)</f>
        <v>378106.462383266</v>
      </c>
      <c r="F16" s="28" t="n">
        <f aca="false">(($I$14+$K$14)*12)-(E15-F15)</f>
        <v>371506.782732475</v>
      </c>
      <c r="G16" s="28" t="n">
        <f aca="false">(($I$14+$K$14)*12)-(F15-G15)</f>
        <v>364434.133638857</v>
      </c>
      <c r="H16" s="28" t="n">
        <f aca="false">(($I$14+$K$14)*12)-(G15-H15)</f>
        <v>356854.523719916</v>
      </c>
      <c r="I16" s="28" t="n">
        <f aca="false">(($I$14+$K$14)*12)-(H15-I15)</f>
        <v>348731.511937744</v>
      </c>
      <c r="J16" s="28" t="n">
        <f aca="false">(($I$14+$K$14)*12)-(I15-J15)</f>
        <v>340026.030583795</v>
      </c>
      <c r="K16" s="28" t="n">
        <f aca="false">(($I$14+$K$14)*12)-(J15-K15)</f>
        <v>330696.195438948</v>
      </c>
      <c r="L16" s="28" t="n">
        <f aca="false">(($I$14+$K$14)*12)-(K15-L15)</f>
        <v>320697.102177305</v>
      </c>
      <c r="M16" s="28" t="n">
        <f aca="false">(($I$14+$K$14)*12)-(L15-M15)</f>
        <v>309980.608014427</v>
      </c>
    </row>
    <row r="17" customFormat="false" ht="15" hidden="false" customHeight="false" outlineLevel="0" collapsed="false">
      <c r="B17" s="13" t="s">
        <v>171</v>
      </c>
      <c r="C17" s="28" t="n">
        <v>0</v>
      </c>
      <c r="D17" s="28" t="n">
        <f aca="false">(($D$13*sf*(1+close)*bldg_share+base*sf)/bldg_life)+IF(D$3=1,fit*sf*bonus,0)+fit*sf*(1-bonus)/15</f>
        <v>2808425.64102564</v>
      </c>
      <c r="E17" s="28" t="n">
        <f aca="false">(($D$13*sf*(1+close)*bldg_share+base*sf)/bldg_life)+IF(E$3=1,fit*sf*bonus,0)+fit*sf*(1-bonus)/15</f>
        <v>73025.641025641</v>
      </c>
      <c r="F17" s="28" t="n">
        <f aca="false">(($D$13*sf*(1+close)*bldg_share+base*sf)/bldg_life)+IF(F$3=1,fit*sf*bonus,0)+fit*sf*(1-bonus)/15</f>
        <v>73025.641025641</v>
      </c>
      <c r="G17" s="28" t="n">
        <f aca="false">(($D$13*sf*(1+close)*bldg_share+base*sf)/bldg_life)+IF(G$3=1,fit*sf*bonus,0)+fit*sf*(1-bonus)/15</f>
        <v>73025.641025641</v>
      </c>
      <c r="H17" s="28" t="n">
        <f aca="false">(($D$13*sf*(1+close)*bldg_share+base*sf)/bldg_life)+IF(H$3=1,fit*sf*bonus,0)+fit*sf*(1-bonus)/15</f>
        <v>73025.641025641</v>
      </c>
      <c r="I17" s="28" t="n">
        <f aca="false">(($D$13*sf*(1+close)*bldg_share+base*sf)/bldg_life)+IF(I$3=1,fit*sf*bonus,0)+fit*sf*(1-bonus)/15</f>
        <v>73025.641025641</v>
      </c>
      <c r="J17" s="28" t="n">
        <f aca="false">(($D$13*sf*(1+close)*bldg_share+base*sf)/bldg_life)+IF(J$3=1,fit*sf*bonus,0)+fit*sf*(1-bonus)/15</f>
        <v>73025.641025641</v>
      </c>
      <c r="K17" s="28" t="n">
        <f aca="false">(($D$13*sf*(1+close)*bldg_share+base*sf)/bldg_life)+IF(K$3=1,fit*sf*bonus,0)+fit*sf*(1-bonus)/15</f>
        <v>73025.641025641</v>
      </c>
      <c r="L17" s="28" t="n">
        <f aca="false">(($D$13*sf*(1+close)*bldg_share+base*sf)/bldg_life)+IF(L$3=1,fit*sf*bonus,0)+fit*sf*(1-bonus)/15</f>
        <v>73025.641025641</v>
      </c>
      <c r="M17" s="28" t="n">
        <f aca="false">(($D$13*sf*(1+close)*bldg_share+base*sf)/bldg_life)+IF(M$3=1,fit*sf*bonus,0)+fit*sf*(1-bonus)/15</f>
        <v>73025.641025641</v>
      </c>
    </row>
    <row r="18" customFormat="false" ht="15" hidden="false" customHeight="false" outlineLevel="0" collapsed="false">
      <c r="B18" s="13" t="s">
        <v>218</v>
      </c>
      <c r="C18" s="28" t="n">
        <f aca="false">-($C$14-$E$14-$G$14)-carry_m/12*($E$14*$H$13+$G$14*$J$13+Model!$D$8*sf)*(1-tax)</f>
        <v>-809934.143286667</v>
      </c>
      <c r="D18" s="28" t="n">
        <f aca="false">-((($I$14+$K$14)*12)+Model!D35)+tax*(D16+Model!D35+D17)</f>
        <v>-65475.9990556258</v>
      </c>
      <c r="E18" s="28" t="n">
        <f aca="false">-((($I$14+$K$14)*12)+Model!E35)+tax*(E16+Model!E35+E17)</f>
        <v>-649167.67650931</v>
      </c>
      <c r="F18" s="28" t="n">
        <f aca="false">-((($I$14+$K$14)*12)+Model!F35)+tax*(F16+Model!F35+F17)</f>
        <v>-658756.951417526</v>
      </c>
      <c r="G18" s="28" t="n">
        <f aca="false">-((($I$14+$K$14)*12)+Model!G35)+tax*(G16+Model!G35+G17)</f>
        <v>-668691.650174182</v>
      </c>
      <c r="H18" s="28" t="n">
        <f aca="false">-((($I$14+$K$14)*12)+Model!H35)+tax*(H16+Model!H35+H17)</f>
        <v>-678986.293977566</v>
      </c>
      <c r="I18" s="28" t="n">
        <f aca="false">-((($I$14+$K$14)*12)+Model!I35)+tax*(I16+Model!I35+I17)</f>
        <v>-689656.139943841</v>
      </c>
      <c r="J18" s="28" t="n">
        <f aca="false">-((($I$14+$K$14)*12)+Model!J35)+tax*(J16+Model!J35+J17)</f>
        <v>-700717.224924949</v>
      </c>
      <c r="K18" s="28" t="n">
        <f aca="false">-((($I$14+$K$14)*12)+Model!K35)+tax*(K16+Model!K35+K17)</f>
        <v>-712186.41221905</v>
      </c>
      <c r="L18" s="28" t="n">
        <f aca="false">-((($I$14+$K$14)*12)+Model!L35)+tax*(L16+Model!L35+L17)</f>
        <v>-724081.441375088</v>
      </c>
      <c r="M18" s="28" t="n">
        <f aca="false">-((($I$14+$K$14)*12)+Model!M35)+tax*(M16+Model!M35+M17)+($F$13*sf*(1-sale_cost)-M15-tax*($F$13*sf*(1-sale_cost)-($C$14-SUM($C17:$M17))))</f>
        <v>-1627786.26906329</v>
      </c>
    </row>
    <row r="19" customFormat="false" ht="15" hidden="false" customHeight="false" outlineLevel="0" collapsed="false">
      <c r="B19" s="20" t="s">
        <v>219</v>
      </c>
      <c r="C19" s="28" t="n">
        <f aca="false">C18+NPV(disc,D18:M18)</f>
        <v>-5248109.48761947</v>
      </c>
      <c r="D19" s="29" t="n">
        <f aca="false">C19-Model!$D$68</f>
        <v>267157.377975231</v>
      </c>
    </row>
    <row r="21" customFormat="false" ht="15" hidden="false" customHeight="false" outlineLevel="0" collapsed="false">
      <c r="B21" s="20" t="s">
        <v>221</v>
      </c>
      <c r="C21" s="13" t="s">
        <v>212</v>
      </c>
      <c r="D21" s="26" t="n">
        <f aca="false">Sensitivity!$B$6</f>
        <v>150</v>
      </c>
      <c r="E21" s="13" t="s">
        <v>213</v>
      </c>
      <c r="F21" s="26" t="n">
        <f aca="false">Sensitivity!E$5</f>
        <v>243.216063397308</v>
      </c>
      <c r="G21" s="13" t="s">
        <v>214</v>
      </c>
      <c r="H21" s="27" t="n">
        <f aca="false">bank_rate</f>
        <v>0.0726</v>
      </c>
      <c r="I21" s="13" t="s">
        <v>215</v>
      </c>
      <c r="J21" s="27" t="n">
        <f aca="false">cdc_rate</f>
        <v>0.0654</v>
      </c>
    </row>
    <row r="22" customFormat="false" ht="15" hidden="false" customHeight="false" outlineLevel="0" collapsed="false">
      <c r="B22" s="13" t="s">
        <v>216</v>
      </c>
      <c r="C22" s="28" t="n">
        <f aca="false">$D$21*sf*(1+close)+base*sf+fit*sf</f>
        <v>6195400</v>
      </c>
      <c r="E22" s="28" t="n">
        <f aca="false">C22*bank_pct</f>
        <v>3097700</v>
      </c>
      <c r="G22" s="28" t="n">
        <f aca="false">C22*cdc_pct</f>
        <v>2478160</v>
      </c>
      <c r="I22" s="28" t="n">
        <f aca="false">-PMT($H$21/12,amort*12,E22)</f>
        <v>22410.3494150073</v>
      </c>
      <c r="K22" s="28" t="n">
        <f aca="false">-PMT($J$21/12,amort*12,G22)</f>
        <v>16794.7071550078</v>
      </c>
    </row>
    <row r="23" customFormat="false" ht="15" hidden="false" customHeight="false" outlineLevel="0" collapsed="false">
      <c r="B23" s="13" t="s">
        <v>217</v>
      </c>
      <c r="C23" s="28" t="n">
        <f aca="false">-FV($H$21/12,12*C$3,-$I$22,$E$22)-FV($J$21/12,12*C$3,-$K$22,$G$22)</f>
        <v>5575860</v>
      </c>
      <c r="D23" s="28" t="n">
        <f aca="false">-FV($H$21/12,12*D$3,-$I$22,$E$22)-FV($J$21/12,12*D$3,-$K$22,$G$22)</f>
        <v>5489664.20053682</v>
      </c>
      <c r="E23" s="28" t="n">
        <f aca="false">-FV($H$21/12,12*E$3,-$I$22,$E$22)-FV($J$21/12,12*E$3,-$K$22,$G$22)</f>
        <v>5397309.98407991</v>
      </c>
      <c r="F23" s="28" t="n">
        <f aca="false">-FV($H$21/12,12*F$3,-$I$22,$E$22)-FV($J$21/12,12*F$3,-$K$22,$G$22)</f>
        <v>5298356.0879722</v>
      </c>
      <c r="G23" s="28" t="n">
        <f aca="false">-FV($H$21/12,12*G$3,-$I$22,$E$22)-FV($J$21/12,12*G$3,-$K$22,$G$22)</f>
        <v>5192329.54277088</v>
      </c>
      <c r="H23" s="28" t="n">
        <f aca="false">-FV($H$21/12,12*H$3,-$I$22,$E$22)-FV($J$21/12,12*H$3,-$K$22,$G$22)</f>
        <v>5078723.38765061</v>
      </c>
      <c r="I23" s="28" t="n">
        <f aca="false">-FV($H$21/12,12*I$3,-$I$22,$E$22)-FV($J$21/12,12*I$3,-$K$22,$G$22)</f>
        <v>4956994.22074818</v>
      </c>
      <c r="J23" s="28" t="n">
        <f aca="false">-FV($H$21/12,12*J$3,-$I$22,$E$22)-FV($J$21/12,12*J$3,-$K$22,$G$22)</f>
        <v>4826559.57249179</v>
      </c>
      <c r="K23" s="28" t="n">
        <f aca="false">-FV($H$21/12,12*K$3,-$I$22,$E$22)-FV($J$21/12,12*K$3,-$K$22,$G$22)</f>
        <v>4686795.08909056</v>
      </c>
      <c r="L23" s="28" t="n">
        <f aca="false">-FV($H$21/12,12*L$3,-$I$22,$E$22)-FV($J$21/12,12*L$3,-$K$22,$G$22)</f>
        <v>4537031.51242768</v>
      </c>
      <c r="M23" s="28" t="n">
        <f aca="false">-FV($H$21/12,12*M$3,-$I$22,$E$22)-FV($J$21/12,12*M$3,-$K$22,$G$22)</f>
        <v>4376551.44160193</v>
      </c>
    </row>
    <row r="24" customFormat="false" ht="15" hidden="false" customHeight="false" outlineLevel="0" collapsed="false">
      <c r="B24" s="13" t="s">
        <v>169</v>
      </c>
      <c r="C24" s="28" t="n">
        <v>0</v>
      </c>
      <c r="D24" s="28" t="n">
        <f aca="false">(($I$22+$K$22)*12)-(C23-D23)</f>
        <v>384264.879376999</v>
      </c>
      <c r="E24" s="28" t="n">
        <f aca="false">(($I$22+$K$22)*12)-(D23-E23)</f>
        <v>378106.462383266</v>
      </c>
      <c r="F24" s="28" t="n">
        <f aca="false">(($I$22+$K$22)*12)-(E23-F23)</f>
        <v>371506.782732475</v>
      </c>
      <c r="G24" s="28" t="n">
        <f aca="false">(($I$22+$K$22)*12)-(F23-G23)</f>
        <v>364434.133638857</v>
      </c>
      <c r="H24" s="28" t="n">
        <f aca="false">(($I$22+$K$22)*12)-(G23-H23)</f>
        <v>356854.523719916</v>
      </c>
      <c r="I24" s="28" t="n">
        <f aca="false">(($I$22+$K$22)*12)-(H23-I23)</f>
        <v>348731.511937744</v>
      </c>
      <c r="J24" s="28" t="n">
        <f aca="false">(($I$22+$K$22)*12)-(I23-J23)</f>
        <v>340026.030583795</v>
      </c>
      <c r="K24" s="28" t="n">
        <f aca="false">(($I$22+$K$22)*12)-(J23-K23)</f>
        <v>330696.195438948</v>
      </c>
      <c r="L24" s="28" t="n">
        <f aca="false">(($I$22+$K$22)*12)-(K23-L23)</f>
        <v>320697.102177305</v>
      </c>
      <c r="M24" s="28" t="n">
        <f aca="false">(($I$22+$K$22)*12)-(L23-M23)</f>
        <v>309980.608014427</v>
      </c>
    </row>
    <row r="25" customFormat="false" ht="15" hidden="false" customHeight="false" outlineLevel="0" collapsed="false">
      <c r="B25" s="13" t="s">
        <v>171</v>
      </c>
      <c r="C25" s="28" t="n">
        <v>0</v>
      </c>
      <c r="D25" s="28" t="n">
        <f aca="false">(($D$21*sf*(1+close)*bldg_share+base*sf)/bldg_life)+IF(D$3=1,fit*sf*bonus,0)+fit*sf*(1-bonus)/15</f>
        <v>2808425.64102564</v>
      </c>
      <c r="E25" s="28" t="n">
        <f aca="false">(($D$21*sf*(1+close)*bldg_share+base*sf)/bldg_life)+IF(E$3=1,fit*sf*bonus,0)+fit*sf*(1-bonus)/15</f>
        <v>73025.641025641</v>
      </c>
      <c r="F25" s="28" t="n">
        <f aca="false">(($D$21*sf*(1+close)*bldg_share+base*sf)/bldg_life)+IF(F$3=1,fit*sf*bonus,0)+fit*sf*(1-bonus)/15</f>
        <v>73025.641025641</v>
      </c>
      <c r="G25" s="28" t="n">
        <f aca="false">(($D$21*sf*(1+close)*bldg_share+base*sf)/bldg_life)+IF(G$3=1,fit*sf*bonus,0)+fit*sf*(1-bonus)/15</f>
        <v>73025.641025641</v>
      </c>
      <c r="H25" s="28" t="n">
        <f aca="false">(($D$21*sf*(1+close)*bldg_share+base*sf)/bldg_life)+IF(H$3=1,fit*sf*bonus,0)+fit*sf*(1-bonus)/15</f>
        <v>73025.641025641</v>
      </c>
      <c r="I25" s="28" t="n">
        <f aca="false">(($D$21*sf*(1+close)*bldg_share+base*sf)/bldg_life)+IF(I$3=1,fit*sf*bonus,0)+fit*sf*(1-bonus)/15</f>
        <v>73025.641025641</v>
      </c>
      <c r="J25" s="28" t="n">
        <f aca="false">(($D$21*sf*(1+close)*bldg_share+base*sf)/bldg_life)+IF(J$3=1,fit*sf*bonus,0)+fit*sf*(1-bonus)/15</f>
        <v>73025.641025641</v>
      </c>
      <c r="K25" s="28" t="n">
        <f aca="false">(($D$21*sf*(1+close)*bldg_share+base*sf)/bldg_life)+IF(K$3=1,fit*sf*bonus,0)+fit*sf*(1-bonus)/15</f>
        <v>73025.641025641</v>
      </c>
      <c r="L25" s="28" t="n">
        <f aca="false">(($D$21*sf*(1+close)*bldg_share+base*sf)/bldg_life)+IF(L$3=1,fit*sf*bonus,0)+fit*sf*(1-bonus)/15</f>
        <v>73025.641025641</v>
      </c>
      <c r="M25" s="28" t="n">
        <f aca="false">(($D$21*sf*(1+close)*bldg_share+base*sf)/bldg_life)+IF(M$3=1,fit*sf*bonus,0)+fit*sf*(1-bonus)/15</f>
        <v>73025.641025641</v>
      </c>
    </row>
    <row r="26" customFormat="false" ht="15" hidden="false" customHeight="false" outlineLevel="0" collapsed="false">
      <c r="B26" s="13" t="s">
        <v>218</v>
      </c>
      <c r="C26" s="28" t="n">
        <f aca="false">-($C$22-$E$22-$G$22)-carry_m/12*($E$22*$H$21+$G$22*$J$21+Model!$D$8*sf)*(1-tax)</f>
        <v>-809934.143286667</v>
      </c>
      <c r="D26" s="28" t="n">
        <f aca="false">-((($I$22+$K$22)*12)+Model!D35)+tax*(D24+Model!D35+D25)</f>
        <v>-65475.9990556258</v>
      </c>
      <c r="E26" s="28" t="n">
        <f aca="false">-((($I$22+$K$22)*12)+Model!E35)+tax*(E24+Model!E35+E25)</f>
        <v>-649167.67650931</v>
      </c>
      <c r="F26" s="28" t="n">
        <f aca="false">-((($I$22+$K$22)*12)+Model!F35)+tax*(F24+Model!F35+F25)</f>
        <v>-658756.951417526</v>
      </c>
      <c r="G26" s="28" t="n">
        <f aca="false">-((($I$22+$K$22)*12)+Model!G35)+tax*(G24+Model!G35+G25)</f>
        <v>-668691.650174182</v>
      </c>
      <c r="H26" s="28" t="n">
        <f aca="false">-((($I$22+$K$22)*12)+Model!H35)+tax*(H24+Model!H35+H25)</f>
        <v>-678986.293977566</v>
      </c>
      <c r="I26" s="28" t="n">
        <f aca="false">-((($I$22+$K$22)*12)+Model!I35)+tax*(I24+Model!I35+I25)</f>
        <v>-689656.139943841</v>
      </c>
      <c r="J26" s="28" t="n">
        <f aca="false">-((($I$22+$K$22)*12)+Model!J35)+tax*(J24+Model!J35+J25)</f>
        <v>-700717.224924949</v>
      </c>
      <c r="K26" s="28" t="n">
        <f aca="false">-((($I$22+$K$22)*12)+Model!K35)+tax*(K24+Model!K35+K25)</f>
        <v>-712186.41221905</v>
      </c>
      <c r="L26" s="28" t="n">
        <f aca="false">-((($I$22+$K$22)*12)+Model!L35)+tax*(L24+Model!L35+L25)</f>
        <v>-724081.441375088</v>
      </c>
      <c r="M26" s="28" t="n">
        <f aca="false">-((($I$22+$K$22)*12)+Model!M35)+tax*(M24+Model!M35+M25)+($F$21*sf*(1-sale_cost)-M23-tax*($F$21*sf*(1-sale_cost)-($C$22-SUM($C25:$M25))))</f>
        <v>-812196.881436157</v>
      </c>
    </row>
    <row r="27" customFormat="false" ht="15" hidden="false" customHeight="false" outlineLevel="0" collapsed="false">
      <c r="B27" s="20" t="s">
        <v>219</v>
      </c>
      <c r="C27" s="28" t="n">
        <f aca="false">C26+NPV(disc,D26:M26)</f>
        <v>-4870333.79431961</v>
      </c>
      <c r="D27" s="29" t="n">
        <f aca="false">C27-Model!$D$68</f>
        <v>644933.071275096</v>
      </c>
    </row>
    <row r="29" customFormat="false" ht="15" hidden="false" customHeight="false" outlineLevel="0" collapsed="false">
      <c r="B29" s="20" t="s">
        <v>222</v>
      </c>
      <c r="C29" s="13" t="s">
        <v>212</v>
      </c>
      <c r="D29" s="26" t="n">
        <f aca="false">Sensitivity!$B$6</f>
        <v>150</v>
      </c>
      <c r="E29" s="13" t="s">
        <v>213</v>
      </c>
      <c r="F29" s="26" t="n">
        <f aca="false">Sensitivity!F$5</f>
        <v>300</v>
      </c>
      <c r="G29" s="13" t="s">
        <v>214</v>
      </c>
      <c r="H29" s="27" t="n">
        <f aca="false">bank_rate</f>
        <v>0.0726</v>
      </c>
      <c r="I29" s="13" t="s">
        <v>215</v>
      </c>
      <c r="J29" s="27" t="n">
        <f aca="false">cdc_rate</f>
        <v>0.0654</v>
      </c>
    </row>
    <row r="30" customFormat="false" ht="15" hidden="false" customHeight="false" outlineLevel="0" collapsed="false">
      <c r="B30" s="13" t="s">
        <v>216</v>
      </c>
      <c r="C30" s="28" t="n">
        <f aca="false">$D$29*sf*(1+close)+base*sf+fit*sf</f>
        <v>6195400</v>
      </c>
      <c r="E30" s="28" t="n">
        <f aca="false">C30*bank_pct</f>
        <v>3097700</v>
      </c>
      <c r="G30" s="28" t="n">
        <f aca="false">C30*cdc_pct</f>
        <v>2478160</v>
      </c>
      <c r="I30" s="28" t="n">
        <f aca="false">-PMT($H$29/12,amort*12,E30)</f>
        <v>22410.3494150073</v>
      </c>
      <c r="K30" s="28" t="n">
        <f aca="false">-PMT($J$29/12,amort*12,G30)</f>
        <v>16794.7071550078</v>
      </c>
    </row>
    <row r="31" customFormat="false" ht="15" hidden="false" customHeight="false" outlineLevel="0" collapsed="false">
      <c r="B31" s="13" t="s">
        <v>217</v>
      </c>
      <c r="C31" s="28" t="n">
        <f aca="false">-FV($H$29/12,12*C$3,-$I$30,$E$30)-FV($J$29/12,12*C$3,-$K$30,$G$30)</f>
        <v>5575860</v>
      </c>
      <c r="D31" s="28" t="n">
        <f aca="false">-FV($H$29/12,12*D$3,-$I$30,$E$30)-FV($J$29/12,12*D$3,-$K$30,$G$30)</f>
        <v>5489664.20053682</v>
      </c>
      <c r="E31" s="28" t="n">
        <f aca="false">-FV($H$29/12,12*E$3,-$I$30,$E$30)-FV($J$29/12,12*E$3,-$K$30,$G$30)</f>
        <v>5397309.98407991</v>
      </c>
      <c r="F31" s="28" t="n">
        <f aca="false">-FV($H$29/12,12*F$3,-$I$30,$E$30)-FV($J$29/12,12*F$3,-$K$30,$G$30)</f>
        <v>5298356.0879722</v>
      </c>
      <c r="G31" s="28" t="n">
        <f aca="false">-FV($H$29/12,12*G$3,-$I$30,$E$30)-FV($J$29/12,12*G$3,-$K$30,$G$30)</f>
        <v>5192329.54277088</v>
      </c>
      <c r="H31" s="28" t="n">
        <f aca="false">-FV($H$29/12,12*H$3,-$I$30,$E$30)-FV($J$29/12,12*H$3,-$K$30,$G$30)</f>
        <v>5078723.38765061</v>
      </c>
      <c r="I31" s="28" t="n">
        <f aca="false">-FV($H$29/12,12*I$3,-$I$30,$E$30)-FV($J$29/12,12*I$3,-$K$30,$G$30)</f>
        <v>4956994.22074818</v>
      </c>
      <c r="J31" s="28" t="n">
        <f aca="false">-FV($H$29/12,12*J$3,-$I$30,$E$30)-FV($J$29/12,12*J$3,-$K$30,$G$30)</f>
        <v>4826559.57249179</v>
      </c>
      <c r="K31" s="28" t="n">
        <f aca="false">-FV($H$29/12,12*K$3,-$I$30,$E$30)-FV($J$29/12,12*K$3,-$K$30,$G$30)</f>
        <v>4686795.08909056</v>
      </c>
      <c r="L31" s="28" t="n">
        <f aca="false">-FV($H$29/12,12*L$3,-$I$30,$E$30)-FV($J$29/12,12*L$3,-$K$30,$G$30)</f>
        <v>4537031.51242768</v>
      </c>
      <c r="M31" s="28" t="n">
        <f aca="false">-FV($H$29/12,12*M$3,-$I$30,$E$30)-FV($J$29/12,12*M$3,-$K$30,$G$30)</f>
        <v>4376551.44160193</v>
      </c>
    </row>
    <row r="32" customFormat="false" ht="15" hidden="false" customHeight="false" outlineLevel="0" collapsed="false">
      <c r="B32" s="13" t="s">
        <v>169</v>
      </c>
      <c r="C32" s="28" t="n">
        <v>0</v>
      </c>
      <c r="D32" s="28" t="n">
        <f aca="false">(($I$30+$K$30)*12)-(C31-D31)</f>
        <v>384264.879376999</v>
      </c>
      <c r="E32" s="28" t="n">
        <f aca="false">(($I$30+$K$30)*12)-(D31-E31)</f>
        <v>378106.462383266</v>
      </c>
      <c r="F32" s="28" t="n">
        <f aca="false">(($I$30+$K$30)*12)-(E31-F31)</f>
        <v>371506.782732475</v>
      </c>
      <c r="G32" s="28" t="n">
        <f aca="false">(($I$30+$K$30)*12)-(F31-G31)</f>
        <v>364434.133638857</v>
      </c>
      <c r="H32" s="28" t="n">
        <f aca="false">(($I$30+$K$30)*12)-(G31-H31)</f>
        <v>356854.523719916</v>
      </c>
      <c r="I32" s="28" t="n">
        <f aca="false">(($I$30+$K$30)*12)-(H31-I31)</f>
        <v>348731.511937744</v>
      </c>
      <c r="J32" s="28" t="n">
        <f aca="false">(($I$30+$K$30)*12)-(I31-J31)</f>
        <v>340026.030583795</v>
      </c>
      <c r="K32" s="28" t="n">
        <f aca="false">(($I$30+$K$30)*12)-(J31-K31)</f>
        <v>330696.195438948</v>
      </c>
      <c r="L32" s="28" t="n">
        <f aca="false">(($I$30+$K$30)*12)-(K31-L31)</f>
        <v>320697.102177305</v>
      </c>
      <c r="M32" s="28" t="n">
        <f aca="false">(($I$30+$K$30)*12)-(L31-M31)</f>
        <v>309980.608014427</v>
      </c>
    </row>
    <row r="33" customFormat="false" ht="15" hidden="false" customHeight="false" outlineLevel="0" collapsed="false">
      <c r="B33" s="13" t="s">
        <v>171</v>
      </c>
      <c r="C33" s="28" t="n">
        <v>0</v>
      </c>
      <c r="D33" s="28" t="n">
        <f aca="false">(($D$29*sf*(1+close)*bldg_share+base*sf)/bldg_life)+IF(D$3=1,fit*sf*bonus,0)+fit*sf*(1-bonus)/15</f>
        <v>2808425.64102564</v>
      </c>
      <c r="E33" s="28" t="n">
        <f aca="false">(($D$29*sf*(1+close)*bldg_share+base*sf)/bldg_life)+IF(E$3=1,fit*sf*bonus,0)+fit*sf*(1-bonus)/15</f>
        <v>73025.641025641</v>
      </c>
      <c r="F33" s="28" t="n">
        <f aca="false">(($D$29*sf*(1+close)*bldg_share+base*sf)/bldg_life)+IF(F$3=1,fit*sf*bonus,0)+fit*sf*(1-bonus)/15</f>
        <v>73025.641025641</v>
      </c>
      <c r="G33" s="28" t="n">
        <f aca="false">(($D$29*sf*(1+close)*bldg_share+base*sf)/bldg_life)+IF(G$3=1,fit*sf*bonus,0)+fit*sf*(1-bonus)/15</f>
        <v>73025.641025641</v>
      </c>
      <c r="H33" s="28" t="n">
        <f aca="false">(($D$29*sf*(1+close)*bldg_share+base*sf)/bldg_life)+IF(H$3=1,fit*sf*bonus,0)+fit*sf*(1-bonus)/15</f>
        <v>73025.641025641</v>
      </c>
      <c r="I33" s="28" t="n">
        <f aca="false">(($D$29*sf*(1+close)*bldg_share+base*sf)/bldg_life)+IF(I$3=1,fit*sf*bonus,0)+fit*sf*(1-bonus)/15</f>
        <v>73025.641025641</v>
      </c>
      <c r="J33" s="28" t="n">
        <f aca="false">(($D$29*sf*(1+close)*bldg_share+base*sf)/bldg_life)+IF(J$3=1,fit*sf*bonus,0)+fit*sf*(1-bonus)/15</f>
        <v>73025.641025641</v>
      </c>
      <c r="K33" s="28" t="n">
        <f aca="false">(($D$29*sf*(1+close)*bldg_share+base*sf)/bldg_life)+IF(K$3=1,fit*sf*bonus,0)+fit*sf*(1-bonus)/15</f>
        <v>73025.641025641</v>
      </c>
      <c r="L33" s="28" t="n">
        <f aca="false">(($D$29*sf*(1+close)*bldg_share+base*sf)/bldg_life)+IF(L$3=1,fit*sf*bonus,0)+fit*sf*(1-bonus)/15</f>
        <v>73025.641025641</v>
      </c>
      <c r="M33" s="28" t="n">
        <f aca="false">(($D$29*sf*(1+close)*bldg_share+base*sf)/bldg_life)+IF(M$3=1,fit*sf*bonus,0)+fit*sf*(1-bonus)/15</f>
        <v>73025.641025641</v>
      </c>
    </row>
    <row r="34" customFormat="false" ht="15" hidden="false" customHeight="false" outlineLevel="0" collapsed="false">
      <c r="B34" s="13" t="s">
        <v>218</v>
      </c>
      <c r="C34" s="28" t="n">
        <f aca="false">-($C$30-$E$30-$G$30)-carry_m/12*($E$30*$H$29+$G$30*$J$29+Model!$D$8*sf)*(1-tax)</f>
        <v>-809934.143286667</v>
      </c>
      <c r="D34" s="28" t="n">
        <f aca="false">-((($I$30+$K$30)*12)+Model!D35)+tax*(D32+Model!D35+D33)</f>
        <v>-65475.9990556258</v>
      </c>
      <c r="E34" s="28" t="n">
        <f aca="false">-((($I$30+$K$30)*12)+Model!E35)+tax*(E32+Model!E35+E33)</f>
        <v>-649167.67650931</v>
      </c>
      <c r="F34" s="28" t="n">
        <f aca="false">-((($I$30+$K$30)*12)+Model!F35)+tax*(F32+Model!F35+F33)</f>
        <v>-658756.951417526</v>
      </c>
      <c r="G34" s="28" t="n">
        <f aca="false">-((($I$30+$K$30)*12)+Model!G35)+tax*(G32+Model!G35+G33)</f>
        <v>-668691.650174182</v>
      </c>
      <c r="H34" s="28" t="n">
        <f aca="false">-((($I$30+$K$30)*12)+Model!H35)+tax*(H32+Model!H35+H33)</f>
        <v>-678986.293977566</v>
      </c>
      <c r="I34" s="28" t="n">
        <f aca="false">-((($I$30+$K$30)*12)+Model!I35)+tax*(I32+Model!I35+I33)</f>
        <v>-689656.139943841</v>
      </c>
      <c r="J34" s="28" t="n">
        <f aca="false">-((($I$30+$K$30)*12)+Model!J35)+tax*(J32+Model!J35+J33)</f>
        <v>-700717.224924949</v>
      </c>
      <c r="K34" s="28" t="n">
        <f aca="false">-((($I$30+$K$30)*12)+Model!K35)+tax*(K32+Model!K35+K33)</f>
        <v>-712186.41221905</v>
      </c>
      <c r="L34" s="28" t="n">
        <f aca="false">-((($I$30+$K$30)*12)+Model!L35)+tax*(L32+Model!L35+L33)</f>
        <v>-724081.441375088</v>
      </c>
      <c r="M34" s="28" t="n">
        <f aca="false">-((($I$30+$K$30)*12)+Model!M35)+tax*(M32+Model!M35+M33)+($F$29*sf*(1-sale_cost)-M31-tax*($F$29*sf*(1-sale_cost)-($C$30-SUM($C33:$M33))))</f>
        <v>58073.7309367056</v>
      </c>
    </row>
    <row r="35" customFormat="false" ht="15" hidden="false" customHeight="false" outlineLevel="0" collapsed="false">
      <c r="B35" s="20" t="s">
        <v>219</v>
      </c>
      <c r="C35" s="28" t="n">
        <f aca="false">C34+NPV(disc,D34:M34)</f>
        <v>-4467230.11379703</v>
      </c>
      <c r="D35" s="29" t="n">
        <f aca="false">C35-Model!$D$68</f>
        <v>1048036.75179768</v>
      </c>
    </row>
    <row r="37" customFormat="false" ht="15" hidden="false" customHeight="false" outlineLevel="0" collapsed="false">
      <c r="B37" s="20" t="s">
        <v>223</v>
      </c>
      <c r="C37" s="13" t="s">
        <v>212</v>
      </c>
      <c r="D37" s="26" t="n">
        <f aca="false">Sensitivity!$B$6</f>
        <v>150</v>
      </c>
      <c r="E37" s="13" t="s">
        <v>213</v>
      </c>
      <c r="F37" s="26" t="n">
        <f aca="false">Sensitivity!G$5</f>
        <v>389.779066708843</v>
      </c>
      <c r="G37" s="13" t="s">
        <v>214</v>
      </c>
      <c r="H37" s="27" t="n">
        <f aca="false">bank_rate</f>
        <v>0.0726</v>
      </c>
      <c r="I37" s="13" t="s">
        <v>215</v>
      </c>
      <c r="J37" s="27" t="n">
        <f aca="false">cdc_rate</f>
        <v>0.0654</v>
      </c>
    </row>
    <row r="38" customFormat="false" ht="15" hidden="false" customHeight="false" outlineLevel="0" collapsed="false">
      <c r="B38" s="13" t="s">
        <v>216</v>
      </c>
      <c r="C38" s="28" t="n">
        <f aca="false">$D$37*sf*(1+close)+base*sf+fit*sf</f>
        <v>6195400</v>
      </c>
      <c r="E38" s="28" t="n">
        <f aca="false">C38*bank_pct</f>
        <v>3097700</v>
      </c>
      <c r="G38" s="28" t="n">
        <f aca="false">C38*cdc_pct</f>
        <v>2478160</v>
      </c>
      <c r="I38" s="28" t="n">
        <f aca="false">-PMT($H$37/12,amort*12,E38)</f>
        <v>22410.3494150073</v>
      </c>
      <c r="K38" s="28" t="n">
        <f aca="false">-PMT($J$37/12,amort*12,G38)</f>
        <v>16794.7071550078</v>
      </c>
    </row>
    <row r="39" customFormat="false" ht="15" hidden="false" customHeight="false" outlineLevel="0" collapsed="false">
      <c r="B39" s="13" t="s">
        <v>217</v>
      </c>
      <c r="C39" s="28" t="n">
        <f aca="false">-FV($H$37/12,12*C$3,-$I$38,$E$38)-FV($J$37/12,12*C$3,-$K$38,$G$38)</f>
        <v>5575860</v>
      </c>
      <c r="D39" s="28" t="n">
        <f aca="false">-FV($H$37/12,12*D$3,-$I$38,$E$38)-FV($J$37/12,12*D$3,-$K$38,$G$38)</f>
        <v>5489664.20053682</v>
      </c>
      <c r="E39" s="28" t="n">
        <f aca="false">-FV($H$37/12,12*E$3,-$I$38,$E$38)-FV($J$37/12,12*E$3,-$K$38,$G$38)</f>
        <v>5397309.98407991</v>
      </c>
      <c r="F39" s="28" t="n">
        <f aca="false">-FV($H$37/12,12*F$3,-$I$38,$E$38)-FV($J$37/12,12*F$3,-$K$38,$G$38)</f>
        <v>5298356.0879722</v>
      </c>
      <c r="G39" s="28" t="n">
        <f aca="false">-FV($H$37/12,12*G$3,-$I$38,$E$38)-FV($J$37/12,12*G$3,-$K$38,$G$38)</f>
        <v>5192329.54277088</v>
      </c>
      <c r="H39" s="28" t="n">
        <f aca="false">-FV($H$37/12,12*H$3,-$I$38,$E$38)-FV($J$37/12,12*H$3,-$K$38,$G$38)</f>
        <v>5078723.38765061</v>
      </c>
      <c r="I39" s="28" t="n">
        <f aca="false">-FV($H$37/12,12*I$3,-$I$38,$E$38)-FV($J$37/12,12*I$3,-$K$38,$G$38)</f>
        <v>4956994.22074818</v>
      </c>
      <c r="J39" s="28" t="n">
        <f aca="false">-FV($H$37/12,12*J$3,-$I$38,$E$38)-FV($J$37/12,12*J$3,-$K$38,$G$38)</f>
        <v>4826559.57249179</v>
      </c>
      <c r="K39" s="28" t="n">
        <f aca="false">-FV($H$37/12,12*K$3,-$I$38,$E$38)-FV($J$37/12,12*K$3,-$K$38,$G$38)</f>
        <v>4686795.08909056</v>
      </c>
      <c r="L39" s="28" t="n">
        <f aca="false">-FV($H$37/12,12*L$3,-$I$38,$E$38)-FV($J$37/12,12*L$3,-$K$38,$G$38)</f>
        <v>4537031.51242768</v>
      </c>
      <c r="M39" s="28" t="n">
        <f aca="false">-FV($H$37/12,12*M$3,-$I$38,$E$38)-FV($J$37/12,12*M$3,-$K$38,$G$38)</f>
        <v>4376551.44160193</v>
      </c>
    </row>
    <row r="40" customFormat="false" ht="15" hidden="false" customHeight="false" outlineLevel="0" collapsed="false">
      <c r="B40" s="13" t="s">
        <v>169</v>
      </c>
      <c r="C40" s="28" t="n">
        <v>0</v>
      </c>
      <c r="D40" s="28" t="n">
        <f aca="false">(($I$38+$K$38)*12)-(C39-D39)</f>
        <v>384264.879376999</v>
      </c>
      <c r="E40" s="28" t="n">
        <f aca="false">(($I$38+$K$38)*12)-(D39-E39)</f>
        <v>378106.462383266</v>
      </c>
      <c r="F40" s="28" t="n">
        <f aca="false">(($I$38+$K$38)*12)-(E39-F39)</f>
        <v>371506.782732475</v>
      </c>
      <c r="G40" s="28" t="n">
        <f aca="false">(($I$38+$K$38)*12)-(F39-G39)</f>
        <v>364434.133638857</v>
      </c>
      <c r="H40" s="28" t="n">
        <f aca="false">(($I$38+$K$38)*12)-(G39-H39)</f>
        <v>356854.523719916</v>
      </c>
      <c r="I40" s="28" t="n">
        <f aca="false">(($I$38+$K$38)*12)-(H39-I39)</f>
        <v>348731.511937744</v>
      </c>
      <c r="J40" s="28" t="n">
        <f aca="false">(($I$38+$K$38)*12)-(I39-J39)</f>
        <v>340026.030583795</v>
      </c>
      <c r="K40" s="28" t="n">
        <f aca="false">(($I$38+$K$38)*12)-(J39-K39)</f>
        <v>330696.195438948</v>
      </c>
      <c r="L40" s="28" t="n">
        <f aca="false">(($I$38+$K$38)*12)-(K39-L39)</f>
        <v>320697.102177305</v>
      </c>
      <c r="M40" s="28" t="n">
        <f aca="false">(($I$38+$K$38)*12)-(L39-M39)</f>
        <v>309980.608014427</v>
      </c>
    </row>
    <row r="41" customFormat="false" ht="15" hidden="false" customHeight="false" outlineLevel="0" collapsed="false">
      <c r="B41" s="13" t="s">
        <v>171</v>
      </c>
      <c r="C41" s="28" t="n">
        <v>0</v>
      </c>
      <c r="D41" s="28" t="n">
        <f aca="false">(($D$37*sf*(1+close)*bldg_share+base*sf)/bldg_life)+IF(D$3=1,fit*sf*bonus,0)+fit*sf*(1-bonus)/15</f>
        <v>2808425.64102564</v>
      </c>
      <c r="E41" s="28" t="n">
        <f aca="false">(($D$37*sf*(1+close)*bldg_share+base*sf)/bldg_life)+IF(E$3=1,fit*sf*bonus,0)+fit*sf*(1-bonus)/15</f>
        <v>73025.641025641</v>
      </c>
      <c r="F41" s="28" t="n">
        <f aca="false">(($D$37*sf*(1+close)*bldg_share+base*sf)/bldg_life)+IF(F$3=1,fit*sf*bonus,0)+fit*sf*(1-bonus)/15</f>
        <v>73025.641025641</v>
      </c>
      <c r="G41" s="28" t="n">
        <f aca="false">(($D$37*sf*(1+close)*bldg_share+base*sf)/bldg_life)+IF(G$3=1,fit*sf*bonus,0)+fit*sf*(1-bonus)/15</f>
        <v>73025.641025641</v>
      </c>
      <c r="H41" s="28" t="n">
        <f aca="false">(($D$37*sf*(1+close)*bldg_share+base*sf)/bldg_life)+IF(H$3=1,fit*sf*bonus,0)+fit*sf*(1-bonus)/15</f>
        <v>73025.641025641</v>
      </c>
      <c r="I41" s="28" t="n">
        <f aca="false">(($D$37*sf*(1+close)*bldg_share+base*sf)/bldg_life)+IF(I$3=1,fit*sf*bonus,0)+fit*sf*(1-bonus)/15</f>
        <v>73025.641025641</v>
      </c>
      <c r="J41" s="28" t="n">
        <f aca="false">(($D$37*sf*(1+close)*bldg_share+base*sf)/bldg_life)+IF(J$3=1,fit*sf*bonus,0)+fit*sf*(1-bonus)/15</f>
        <v>73025.641025641</v>
      </c>
      <c r="K41" s="28" t="n">
        <f aca="false">(($D$37*sf*(1+close)*bldg_share+base*sf)/bldg_life)+IF(K$3=1,fit*sf*bonus,0)+fit*sf*(1-bonus)/15</f>
        <v>73025.641025641</v>
      </c>
      <c r="L41" s="28" t="n">
        <f aca="false">(($D$37*sf*(1+close)*bldg_share+base*sf)/bldg_life)+IF(L$3=1,fit*sf*bonus,0)+fit*sf*(1-bonus)/15</f>
        <v>73025.641025641</v>
      </c>
      <c r="M41" s="28" t="n">
        <f aca="false">(($D$37*sf*(1+close)*bldg_share+base*sf)/bldg_life)+IF(M$3=1,fit*sf*bonus,0)+fit*sf*(1-bonus)/15</f>
        <v>73025.641025641</v>
      </c>
    </row>
    <row r="42" customFormat="false" ht="15" hidden="false" customHeight="false" outlineLevel="0" collapsed="false">
      <c r="B42" s="13" t="s">
        <v>218</v>
      </c>
      <c r="C42" s="28" t="n">
        <f aca="false">-($C$38-$E$38-$G$38)-carry_m/12*($E$38*$H$37+$G$38*$J$37+Model!$D$8*sf)*(1-tax)</f>
        <v>-809934.143286667</v>
      </c>
      <c r="D42" s="28" t="n">
        <f aca="false">-((($I$38+$K$38)*12)+Model!D35)+tax*(D40+Model!D35+D41)</f>
        <v>-65475.9990556258</v>
      </c>
      <c r="E42" s="28" t="n">
        <f aca="false">-((($I$38+$K$38)*12)+Model!E35)+tax*(E40+Model!E35+E41)</f>
        <v>-649167.67650931</v>
      </c>
      <c r="F42" s="28" t="n">
        <f aca="false">-((($I$38+$K$38)*12)+Model!F35)+tax*(F40+Model!F35+F41)</f>
        <v>-658756.951417526</v>
      </c>
      <c r="G42" s="28" t="n">
        <f aca="false">-((($I$38+$K$38)*12)+Model!G35)+tax*(G40+Model!G35+G41)</f>
        <v>-668691.650174182</v>
      </c>
      <c r="H42" s="28" t="n">
        <f aca="false">-((($I$38+$K$38)*12)+Model!H35)+tax*(H40+Model!H35+H41)</f>
        <v>-678986.293977566</v>
      </c>
      <c r="I42" s="28" t="n">
        <f aca="false">-((($I$38+$K$38)*12)+Model!I35)+tax*(I40+Model!I35+I41)</f>
        <v>-689656.139943841</v>
      </c>
      <c r="J42" s="28" t="n">
        <f aca="false">-((($I$38+$K$38)*12)+Model!J35)+tax*(J40+Model!J35+J41)</f>
        <v>-700717.224924949</v>
      </c>
      <c r="K42" s="28" t="n">
        <f aca="false">-((($I$38+$K$38)*12)+Model!K35)+tax*(K40+Model!K35+K41)</f>
        <v>-712186.41221905</v>
      </c>
      <c r="L42" s="28" t="n">
        <f aca="false">-((($I$38+$K$38)*12)+Model!L35)+tax*(L40+Model!L35+L41)</f>
        <v>-724081.441375088</v>
      </c>
      <c r="M42" s="28" t="n">
        <f aca="false">-((($I$38+$K$38)*12)+Model!M35)+tax*(M40+Model!M35+M41)+($F$37*sf*(1-sale_cost)-M39-tax*($F$37*sf*(1-sale_cost)-($C$38-SUM($C41:$M41))))</f>
        <v>1434027.70731644</v>
      </c>
    </row>
    <row r="43" customFormat="false" ht="15" hidden="false" customHeight="false" outlineLevel="0" collapsed="false">
      <c r="B43" s="20" t="s">
        <v>219</v>
      </c>
      <c r="C43" s="28" t="n">
        <f aca="false">C42+NPV(disc,D42:M42)</f>
        <v>-3829897.19203371</v>
      </c>
      <c r="D43" s="29" t="n">
        <f aca="false">C43-Model!$D$68</f>
        <v>1685369.67356099</v>
      </c>
    </row>
    <row r="45" customFormat="false" ht="15" hidden="false" customHeight="false" outlineLevel="0" collapsed="false">
      <c r="B45" s="20" t="s">
        <v>224</v>
      </c>
      <c r="C45" s="13" t="s">
        <v>212</v>
      </c>
      <c r="D45" s="26" t="n">
        <f aca="false">Sensitivity!$B$7</f>
        <v>170</v>
      </c>
      <c r="E45" s="13" t="s">
        <v>213</v>
      </c>
      <c r="F45" s="26" t="n">
        <f aca="false">Sensitivity!C$5</f>
        <v>160</v>
      </c>
      <c r="G45" s="13" t="s">
        <v>214</v>
      </c>
      <c r="H45" s="27" t="n">
        <f aca="false">bank_rate</f>
        <v>0.0726</v>
      </c>
      <c r="I45" s="13" t="s">
        <v>215</v>
      </c>
      <c r="J45" s="27" t="n">
        <f aca="false">cdc_rate</f>
        <v>0.0654</v>
      </c>
    </row>
    <row r="46" customFormat="false" ht="15" hidden="false" customHeight="false" outlineLevel="0" collapsed="false">
      <c r="B46" s="13" t="s">
        <v>216</v>
      </c>
      <c r="C46" s="28" t="n">
        <f aca="false">$D$45*sf*(1+close)+base*sf+fit*sf</f>
        <v>6603400</v>
      </c>
      <c r="E46" s="28" t="n">
        <f aca="false">C46*bank_pct</f>
        <v>3301700</v>
      </c>
      <c r="G46" s="28" t="n">
        <f aca="false">C46*cdc_pct</f>
        <v>2641360</v>
      </c>
      <c r="I46" s="28" t="n">
        <f aca="false">-PMT($H$45/12,amort*12,E46)</f>
        <v>23886.1899678889</v>
      </c>
      <c r="K46" s="28" t="n">
        <f aca="false">-PMT($J$45/12,amort*12,G46)</f>
        <v>17900.7278347449</v>
      </c>
    </row>
    <row r="47" customFormat="false" ht="15" hidden="false" customHeight="false" outlineLevel="0" collapsed="false">
      <c r="B47" s="13" t="s">
        <v>217</v>
      </c>
      <c r="C47" s="28" t="n">
        <f aca="false">-FV($H$45/12,12*C$3,-$I$46,$E$46)-FV($J$45/12,12*C$3,-$K$46,$G$46)</f>
        <v>5943060</v>
      </c>
      <c r="D47" s="28" t="n">
        <f aca="false">-FV($H$45/12,12*D$3,-$I$46,$E$46)-FV($J$45/12,12*D$3,-$K$46,$G$46)</f>
        <v>5851187.74926959</v>
      </c>
      <c r="E47" s="28" t="n">
        <f aca="false">-FV($H$45/12,12*E$3,-$I$46,$E$46)-FV($J$45/12,12*E$3,-$K$46,$G$46)</f>
        <v>5752751.51707287</v>
      </c>
      <c r="F47" s="28" t="n">
        <f aca="false">-FV($H$45/12,12*F$3,-$I$46,$E$46)-FV($J$45/12,12*F$3,-$K$46,$G$46)</f>
        <v>5647280.98126281</v>
      </c>
      <c r="G47" s="28" t="n">
        <f aca="false">-FV($H$45/12,12*G$3,-$I$46,$E$46)-FV($J$45/12,12*G$3,-$K$46,$G$46)</f>
        <v>5534272.02484637</v>
      </c>
      <c r="H47" s="28" t="n">
        <f aca="false">-FV($H$45/12,12*H$3,-$I$46,$E$46)-FV($J$45/12,12*H$3,-$K$46,$G$46)</f>
        <v>5413184.3009349</v>
      </c>
      <c r="I47" s="28" t="n">
        <f aca="false">-FV($H$45/12,12*I$3,-$I$46,$E$46)-FV($J$45/12,12*I$3,-$K$46,$G$46)</f>
        <v>5283438.62176591</v>
      </c>
      <c r="J47" s="28" t="n">
        <f aca="false">-FV($H$45/12,12*J$3,-$I$46,$E$46)-FV($J$45/12,12*J$3,-$K$46,$G$46)</f>
        <v>5144414.15905225</v>
      </c>
      <c r="K47" s="28" t="n">
        <f aca="false">-FV($H$45/12,12*K$3,-$I$46,$E$46)-FV($J$45/12,12*K$3,-$K$46,$G$46)</f>
        <v>4995445.44198932</v>
      </c>
      <c r="L47" s="28" t="n">
        <f aca="false">-FV($H$45/12,12*L$3,-$I$46,$E$46)-FV($J$45/12,12*L$3,-$K$46,$G$46)</f>
        <v>4835819.13825822</v>
      </c>
      <c r="M47" s="28" t="n">
        <f aca="false">-FV($H$45/12,12*M$3,-$I$46,$E$46)-FV($J$45/12,12*M$3,-$K$46,$G$46)</f>
        <v>4664770.60229754</v>
      </c>
    </row>
    <row r="48" customFormat="false" ht="15" hidden="false" customHeight="false" outlineLevel="0" collapsed="false">
      <c r="B48" s="13" t="s">
        <v>169</v>
      </c>
      <c r="C48" s="28" t="n">
        <v>0</v>
      </c>
      <c r="D48" s="28" t="n">
        <f aca="false">(($I$46+$K$46)*12)-(C47-D47)</f>
        <v>409570.762901198</v>
      </c>
      <c r="E48" s="28" t="n">
        <f aca="false">(($I$46+$K$46)*12)-(D47-E47)</f>
        <v>403006.781434879</v>
      </c>
      <c r="F48" s="28" t="n">
        <f aca="false">(($I$46+$K$46)*12)-(E47-F47)</f>
        <v>395972.47782155</v>
      </c>
      <c r="G48" s="28" t="n">
        <f aca="false">(($I$46+$K$46)*12)-(F47-G47)</f>
        <v>388434.057215163</v>
      </c>
      <c r="H48" s="28" t="n">
        <f aca="false">(($I$46+$K$46)*12)-(G47-H47)</f>
        <v>380355.289720131</v>
      </c>
      <c r="I48" s="28" t="n">
        <f aca="false">(($I$46+$K$46)*12)-(H47-I47)</f>
        <v>371697.334462618</v>
      </c>
      <c r="J48" s="28" t="n">
        <f aca="false">(($I$46+$K$46)*12)-(I47-J47)</f>
        <v>362418.550917943</v>
      </c>
      <c r="K48" s="28" t="n">
        <f aca="false">(($I$46+$K$46)*12)-(J47-K47)</f>
        <v>352474.296568672</v>
      </c>
      <c r="L48" s="28" t="n">
        <f aca="false">(($I$46+$K$46)*12)-(K47-L47)</f>
        <v>341816.709900509</v>
      </c>
      <c r="M48" s="28" t="n">
        <f aca="false">(($I$46+$K$46)*12)-(L47-M47)</f>
        <v>330394.477670929</v>
      </c>
    </row>
    <row r="49" customFormat="false" ht="15" hidden="false" customHeight="false" outlineLevel="0" collapsed="false">
      <c r="B49" s="13" t="s">
        <v>171</v>
      </c>
      <c r="C49" s="28" t="n">
        <v>0</v>
      </c>
      <c r="D49" s="28" t="n">
        <f aca="false">(($D$45*sf*(1+close)*bldg_share+base*sf)/bldg_life)+IF(D$3=1,fit*sf*bonus,0)+fit*sf*(1-bonus)/15</f>
        <v>2816794.87179487</v>
      </c>
      <c r="E49" s="28" t="n">
        <f aca="false">(($D$45*sf*(1+close)*bldg_share+base*sf)/bldg_life)+IF(E$3=1,fit*sf*bonus,0)+fit*sf*(1-bonus)/15</f>
        <v>81394.8717948718</v>
      </c>
      <c r="F49" s="28" t="n">
        <f aca="false">(($D$45*sf*(1+close)*bldg_share+base*sf)/bldg_life)+IF(F$3=1,fit*sf*bonus,0)+fit*sf*(1-bonus)/15</f>
        <v>81394.8717948718</v>
      </c>
      <c r="G49" s="28" t="n">
        <f aca="false">(($D$45*sf*(1+close)*bldg_share+base*sf)/bldg_life)+IF(G$3=1,fit*sf*bonus,0)+fit*sf*(1-bonus)/15</f>
        <v>81394.8717948718</v>
      </c>
      <c r="H49" s="28" t="n">
        <f aca="false">(($D$45*sf*(1+close)*bldg_share+base*sf)/bldg_life)+IF(H$3=1,fit*sf*bonus,0)+fit*sf*(1-bonus)/15</f>
        <v>81394.8717948718</v>
      </c>
      <c r="I49" s="28" t="n">
        <f aca="false">(($D$45*sf*(1+close)*bldg_share+base*sf)/bldg_life)+IF(I$3=1,fit*sf*bonus,0)+fit*sf*(1-bonus)/15</f>
        <v>81394.8717948718</v>
      </c>
      <c r="J49" s="28" t="n">
        <f aca="false">(($D$45*sf*(1+close)*bldg_share+base*sf)/bldg_life)+IF(J$3=1,fit*sf*bonus,0)+fit*sf*(1-bonus)/15</f>
        <v>81394.8717948718</v>
      </c>
      <c r="K49" s="28" t="n">
        <f aca="false">(($D$45*sf*(1+close)*bldg_share+base*sf)/bldg_life)+IF(K$3=1,fit*sf*bonus,0)+fit*sf*(1-bonus)/15</f>
        <v>81394.8717948718</v>
      </c>
      <c r="L49" s="28" t="n">
        <f aca="false">(($D$45*sf*(1+close)*bldg_share+base*sf)/bldg_life)+IF(L$3=1,fit*sf*bonus,0)+fit*sf*(1-bonus)/15</f>
        <v>81394.8717948718</v>
      </c>
      <c r="M49" s="28" t="n">
        <f aca="false">(($D$45*sf*(1+close)*bldg_share+base*sf)/bldg_life)+IF(M$3=1,fit*sf*bonus,0)+fit*sf*(1-bonus)/15</f>
        <v>81394.8717948718</v>
      </c>
    </row>
    <row r="50" customFormat="false" ht="15" hidden="false" customHeight="false" outlineLevel="0" collapsed="false">
      <c r="B50" s="13" t="s">
        <v>218</v>
      </c>
      <c r="C50" s="28" t="n">
        <f aca="false">-($C$46-$E$46-$G$46)-carry_m/12*($E$46*$H$45+$G$46*$J$45+Model!$D$8*sf)*(1-tax)</f>
        <v>-857444.845686667</v>
      </c>
      <c r="D50" s="28" t="n">
        <f aca="false">-((($I$46+$K$46)*12)+Model!D35)+tax*(D48+Model!D35+D49)</f>
        <v>-89386.5598454303</v>
      </c>
      <c r="E50" s="28" t="n">
        <f aca="false">-((($I$46+$K$46)*12)+Model!E35)+tax*(E48+Model!E35+E49)</f>
        <v>-673163.405838357</v>
      </c>
      <c r="F50" s="28" t="n">
        <f aca="false">-((($I$46+$K$46)*12)+Model!F35)+tax*(F48+Model!F35+F49)</f>
        <v>-682843.951778706</v>
      </c>
      <c r="G50" s="28" t="n">
        <f aca="false">-((($I$46+$K$46)*12)+Model!G35)+tax*(G48+Model!G35+G49)</f>
        <v>-692876.462553044</v>
      </c>
      <c r="H50" s="28" t="n">
        <f aca="false">-((($I$46+$K$46)*12)+Model!H35)+tax*(H48+Model!H35+H49)</f>
        <v>-703275.929447407</v>
      </c>
      <c r="I50" s="28" t="n">
        <f aca="false">-((($I$46+$K$46)*12)+Model!I35)+tax*(I48+Model!I35+I49)</f>
        <v>-714058.113543504</v>
      </c>
      <c r="J50" s="28" t="n">
        <f aca="false">-((($I$46+$K$46)*12)+Model!J35)+tax*(J48+Model!J35+J49)</f>
        <v>-725239.591984664</v>
      </c>
      <c r="K50" s="28" t="n">
        <f aca="false">-((($I$46+$K$46)*12)+Model!K35)+tax*(K48+Model!K35+K49)</f>
        <v>-736837.807311694</v>
      </c>
      <c r="L50" s="28" t="n">
        <f aca="false">-((($I$46+$K$46)*12)+Model!L35)+tax*(L48+Model!L35+L49)</f>
        <v>-748871.120083101</v>
      </c>
      <c r="M50" s="28" t="n">
        <f aca="false">-((($I$46+$K$46)*12)+Model!M35)+tax*(M48+Model!M35+M49)+($F$45*sf*(1-sale_cost)-M47-tax*($F$45*sf*(1-sale_cost)-($C$46-SUM($C49:$M49))))</f>
        <v>-2332618.69807631</v>
      </c>
    </row>
    <row r="51" customFormat="false" ht="15" hidden="false" customHeight="false" outlineLevel="0" collapsed="false">
      <c r="B51" s="20" t="s">
        <v>219</v>
      </c>
      <c r="C51" s="28" t="n">
        <f aca="false">C50+NPV(disc,D50:M50)</f>
        <v>-5773639.91520921</v>
      </c>
      <c r="D51" s="29" t="n">
        <f aca="false">C51-Model!$D$68</f>
        <v>-258373.049614499</v>
      </c>
    </row>
    <row r="53" customFormat="false" ht="15" hidden="false" customHeight="false" outlineLevel="0" collapsed="false">
      <c r="B53" s="20" t="s">
        <v>225</v>
      </c>
      <c r="C53" s="13" t="s">
        <v>212</v>
      </c>
      <c r="D53" s="26" t="n">
        <f aca="false">Sensitivity!$B$7</f>
        <v>170</v>
      </c>
      <c r="E53" s="13" t="s">
        <v>213</v>
      </c>
      <c r="F53" s="26" t="n">
        <f aca="false">Sensitivity!D$5</f>
        <v>190</v>
      </c>
      <c r="G53" s="13" t="s">
        <v>214</v>
      </c>
      <c r="H53" s="27" t="n">
        <f aca="false">bank_rate</f>
        <v>0.0726</v>
      </c>
      <c r="I53" s="13" t="s">
        <v>215</v>
      </c>
      <c r="J53" s="27" t="n">
        <f aca="false">cdc_rate</f>
        <v>0.0654</v>
      </c>
    </row>
    <row r="54" customFormat="false" ht="15" hidden="false" customHeight="false" outlineLevel="0" collapsed="false">
      <c r="B54" s="13" t="s">
        <v>216</v>
      </c>
      <c r="C54" s="28" t="n">
        <f aca="false">$D$53*sf*(1+close)+base*sf+fit*sf</f>
        <v>6603400</v>
      </c>
      <c r="E54" s="28" t="n">
        <f aca="false">C54*bank_pct</f>
        <v>3301700</v>
      </c>
      <c r="G54" s="28" t="n">
        <f aca="false">C54*cdc_pct</f>
        <v>2641360</v>
      </c>
      <c r="I54" s="28" t="n">
        <f aca="false">-PMT($H$53/12,amort*12,E54)</f>
        <v>23886.1899678889</v>
      </c>
      <c r="K54" s="28" t="n">
        <f aca="false">-PMT($J$53/12,amort*12,G54)</f>
        <v>17900.7278347449</v>
      </c>
    </row>
    <row r="55" customFormat="false" ht="15" hidden="false" customHeight="false" outlineLevel="0" collapsed="false">
      <c r="B55" s="13" t="s">
        <v>217</v>
      </c>
      <c r="C55" s="28" t="n">
        <f aca="false">-FV($H$53/12,12*C$3,-$I$54,$E$54)-FV($J$53/12,12*C$3,-$K$54,$G$54)</f>
        <v>5943060</v>
      </c>
      <c r="D55" s="28" t="n">
        <f aca="false">-FV($H$53/12,12*D$3,-$I$54,$E$54)-FV($J$53/12,12*D$3,-$K$54,$G$54)</f>
        <v>5851187.74926959</v>
      </c>
      <c r="E55" s="28" t="n">
        <f aca="false">-FV($H$53/12,12*E$3,-$I$54,$E$54)-FV($J$53/12,12*E$3,-$K$54,$G$54)</f>
        <v>5752751.51707287</v>
      </c>
      <c r="F55" s="28" t="n">
        <f aca="false">-FV($H$53/12,12*F$3,-$I$54,$E$54)-FV($J$53/12,12*F$3,-$K$54,$G$54)</f>
        <v>5647280.98126281</v>
      </c>
      <c r="G55" s="28" t="n">
        <f aca="false">-FV($H$53/12,12*G$3,-$I$54,$E$54)-FV($J$53/12,12*G$3,-$K$54,$G$54)</f>
        <v>5534272.02484637</v>
      </c>
      <c r="H55" s="28" t="n">
        <f aca="false">-FV($H$53/12,12*H$3,-$I$54,$E$54)-FV($J$53/12,12*H$3,-$K$54,$G$54)</f>
        <v>5413184.3009349</v>
      </c>
      <c r="I55" s="28" t="n">
        <f aca="false">-FV($H$53/12,12*I$3,-$I$54,$E$54)-FV($J$53/12,12*I$3,-$K$54,$G$54)</f>
        <v>5283438.62176591</v>
      </c>
      <c r="J55" s="28" t="n">
        <f aca="false">-FV($H$53/12,12*J$3,-$I$54,$E$54)-FV($J$53/12,12*J$3,-$K$54,$G$54)</f>
        <v>5144414.15905225</v>
      </c>
      <c r="K55" s="28" t="n">
        <f aca="false">-FV($H$53/12,12*K$3,-$I$54,$E$54)-FV($J$53/12,12*K$3,-$K$54,$G$54)</f>
        <v>4995445.44198932</v>
      </c>
      <c r="L55" s="28" t="n">
        <f aca="false">-FV($H$53/12,12*L$3,-$I$54,$E$54)-FV($J$53/12,12*L$3,-$K$54,$G$54)</f>
        <v>4835819.13825822</v>
      </c>
      <c r="M55" s="28" t="n">
        <f aca="false">-FV($H$53/12,12*M$3,-$I$54,$E$54)-FV($J$53/12,12*M$3,-$K$54,$G$54)</f>
        <v>4664770.60229754</v>
      </c>
    </row>
    <row r="56" customFormat="false" ht="15" hidden="false" customHeight="false" outlineLevel="0" collapsed="false">
      <c r="B56" s="13" t="s">
        <v>169</v>
      </c>
      <c r="C56" s="28" t="n">
        <v>0</v>
      </c>
      <c r="D56" s="28" t="n">
        <f aca="false">(($I$54+$K$54)*12)-(C55-D55)</f>
        <v>409570.762901198</v>
      </c>
      <c r="E56" s="28" t="n">
        <f aca="false">(($I$54+$K$54)*12)-(D55-E55)</f>
        <v>403006.781434879</v>
      </c>
      <c r="F56" s="28" t="n">
        <f aca="false">(($I$54+$K$54)*12)-(E55-F55)</f>
        <v>395972.47782155</v>
      </c>
      <c r="G56" s="28" t="n">
        <f aca="false">(($I$54+$K$54)*12)-(F55-G55)</f>
        <v>388434.057215163</v>
      </c>
      <c r="H56" s="28" t="n">
        <f aca="false">(($I$54+$K$54)*12)-(G55-H55)</f>
        <v>380355.289720131</v>
      </c>
      <c r="I56" s="28" t="n">
        <f aca="false">(($I$54+$K$54)*12)-(H55-I55)</f>
        <v>371697.334462618</v>
      </c>
      <c r="J56" s="28" t="n">
        <f aca="false">(($I$54+$K$54)*12)-(I55-J55)</f>
        <v>362418.550917943</v>
      </c>
      <c r="K56" s="28" t="n">
        <f aca="false">(($I$54+$K$54)*12)-(J55-K55)</f>
        <v>352474.296568672</v>
      </c>
      <c r="L56" s="28" t="n">
        <f aca="false">(($I$54+$K$54)*12)-(K55-L55)</f>
        <v>341816.709900509</v>
      </c>
      <c r="M56" s="28" t="n">
        <f aca="false">(($I$54+$K$54)*12)-(L55-M55)</f>
        <v>330394.477670929</v>
      </c>
    </row>
    <row r="57" customFormat="false" ht="15" hidden="false" customHeight="false" outlineLevel="0" collapsed="false">
      <c r="B57" s="13" t="s">
        <v>171</v>
      </c>
      <c r="C57" s="28" t="n">
        <v>0</v>
      </c>
      <c r="D57" s="28" t="n">
        <f aca="false">(($D$53*sf*(1+close)*bldg_share+base*sf)/bldg_life)+IF(D$3=1,fit*sf*bonus,0)+fit*sf*(1-bonus)/15</f>
        <v>2816794.87179487</v>
      </c>
      <c r="E57" s="28" t="n">
        <f aca="false">(($D$53*sf*(1+close)*bldg_share+base*sf)/bldg_life)+IF(E$3=1,fit*sf*bonus,0)+fit*sf*(1-bonus)/15</f>
        <v>81394.8717948718</v>
      </c>
      <c r="F57" s="28" t="n">
        <f aca="false">(($D$53*sf*(1+close)*bldg_share+base*sf)/bldg_life)+IF(F$3=1,fit*sf*bonus,0)+fit*sf*(1-bonus)/15</f>
        <v>81394.8717948718</v>
      </c>
      <c r="G57" s="28" t="n">
        <f aca="false">(($D$53*sf*(1+close)*bldg_share+base*sf)/bldg_life)+IF(G$3=1,fit*sf*bonus,0)+fit*sf*(1-bonus)/15</f>
        <v>81394.8717948718</v>
      </c>
      <c r="H57" s="28" t="n">
        <f aca="false">(($D$53*sf*(1+close)*bldg_share+base*sf)/bldg_life)+IF(H$3=1,fit*sf*bonus,0)+fit*sf*(1-bonus)/15</f>
        <v>81394.8717948718</v>
      </c>
      <c r="I57" s="28" t="n">
        <f aca="false">(($D$53*sf*(1+close)*bldg_share+base*sf)/bldg_life)+IF(I$3=1,fit*sf*bonus,0)+fit*sf*(1-bonus)/15</f>
        <v>81394.8717948718</v>
      </c>
      <c r="J57" s="28" t="n">
        <f aca="false">(($D$53*sf*(1+close)*bldg_share+base*sf)/bldg_life)+IF(J$3=1,fit*sf*bonus,0)+fit*sf*(1-bonus)/15</f>
        <v>81394.8717948718</v>
      </c>
      <c r="K57" s="28" t="n">
        <f aca="false">(($D$53*sf*(1+close)*bldg_share+base*sf)/bldg_life)+IF(K$3=1,fit*sf*bonus,0)+fit*sf*(1-bonus)/15</f>
        <v>81394.8717948718</v>
      </c>
      <c r="L57" s="28" t="n">
        <f aca="false">(($D$53*sf*(1+close)*bldg_share+base*sf)/bldg_life)+IF(L$3=1,fit*sf*bonus,0)+fit*sf*(1-bonus)/15</f>
        <v>81394.8717948718</v>
      </c>
      <c r="M57" s="28" t="n">
        <f aca="false">(($D$53*sf*(1+close)*bldg_share+base*sf)/bldg_life)+IF(M$3=1,fit*sf*bonus,0)+fit*sf*(1-bonus)/15</f>
        <v>81394.8717948718</v>
      </c>
    </row>
    <row r="58" customFormat="false" ht="15" hidden="false" customHeight="false" outlineLevel="0" collapsed="false">
      <c r="B58" s="13" t="s">
        <v>218</v>
      </c>
      <c r="C58" s="28" t="n">
        <f aca="false">-($C$54-$E$54-$G$54)-carry_m/12*($E$54*$H$53+$G$54*$J$53+Model!$D$8*sf)*(1-tax)</f>
        <v>-857444.845686667</v>
      </c>
      <c r="D58" s="28" t="n">
        <f aca="false">-((($I$54+$K$54)*12)+Model!D35)+tax*(D56+Model!D35+D57)</f>
        <v>-89386.5598454303</v>
      </c>
      <c r="E58" s="28" t="n">
        <f aca="false">-((($I$54+$K$54)*12)+Model!E35)+tax*(E56+Model!E35+E57)</f>
        <v>-673163.405838357</v>
      </c>
      <c r="F58" s="28" t="n">
        <f aca="false">-((($I$54+$K$54)*12)+Model!F35)+tax*(F56+Model!F35+F57)</f>
        <v>-682843.951778706</v>
      </c>
      <c r="G58" s="28" t="n">
        <f aca="false">-((($I$54+$K$54)*12)+Model!G35)+tax*(G56+Model!G35+G57)</f>
        <v>-692876.462553044</v>
      </c>
      <c r="H58" s="28" t="n">
        <f aca="false">-((($I$54+$K$54)*12)+Model!H35)+tax*(H56+Model!H35+H57)</f>
        <v>-703275.929447407</v>
      </c>
      <c r="I58" s="28" t="n">
        <f aca="false">-((($I$54+$K$54)*12)+Model!I35)+tax*(I56+Model!I35+I57)</f>
        <v>-714058.113543504</v>
      </c>
      <c r="J58" s="28" t="n">
        <f aca="false">-((($I$54+$K$54)*12)+Model!J35)+tax*(J56+Model!J35+J57)</f>
        <v>-725239.591984664</v>
      </c>
      <c r="K58" s="28" t="n">
        <f aca="false">-((($I$54+$K$54)*12)+Model!K35)+tax*(K56+Model!K35+K57)</f>
        <v>-736837.807311694</v>
      </c>
      <c r="L58" s="28" t="n">
        <f aca="false">-((($I$54+$K$54)*12)+Model!L35)+tax*(L56+Model!L35+L57)</f>
        <v>-748871.120083101</v>
      </c>
      <c r="M58" s="28" t="n">
        <f aca="false">-((($I$54+$K$54)*12)+Model!M35)+tax*(M56+Model!M35+M57)+($F$53*sf*(1-sale_cost)-M55-tax*($F$53*sf*(1-sale_cost)-($C$54-SUM($C57:$M57))))</f>
        <v>-1872838.69807631</v>
      </c>
    </row>
    <row r="59" customFormat="false" ht="15" hidden="false" customHeight="false" outlineLevel="0" collapsed="false">
      <c r="B59" s="20" t="s">
        <v>219</v>
      </c>
      <c r="C59" s="28" t="n">
        <f aca="false">C58+NPV(disc,D58:M58)</f>
        <v>-5560672.81325763</v>
      </c>
      <c r="D59" s="29" t="n">
        <f aca="false">C59-Model!$D$68</f>
        <v>-45405.9476629235</v>
      </c>
    </row>
    <row r="61" customFormat="false" ht="15" hidden="false" customHeight="false" outlineLevel="0" collapsed="false">
      <c r="B61" s="20" t="s">
        <v>226</v>
      </c>
      <c r="C61" s="13" t="s">
        <v>212</v>
      </c>
      <c r="D61" s="26" t="n">
        <f aca="false">Sensitivity!$B$7</f>
        <v>170</v>
      </c>
      <c r="E61" s="13" t="s">
        <v>213</v>
      </c>
      <c r="F61" s="26" t="n">
        <f aca="false">Sensitivity!E$5</f>
        <v>243.216063397308</v>
      </c>
      <c r="G61" s="13" t="s">
        <v>214</v>
      </c>
      <c r="H61" s="27" t="n">
        <f aca="false">bank_rate</f>
        <v>0.0726</v>
      </c>
      <c r="I61" s="13" t="s">
        <v>215</v>
      </c>
      <c r="J61" s="27" t="n">
        <f aca="false">cdc_rate</f>
        <v>0.0654</v>
      </c>
    </row>
    <row r="62" customFormat="false" ht="15" hidden="false" customHeight="false" outlineLevel="0" collapsed="false">
      <c r="B62" s="13" t="s">
        <v>216</v>
      </c>
      <c r="C62" s="28" t="n">
        <f aca="false">$D$61*sf*(1+close)+base*sf+fit*sf</f>
        <v>6603400</v>
      </c>
      <c r="E62" s="28" t="n">
        <f aca="false">C62*bank_pct</f>
        <v>3301700</v>
      </c>
      <c r="G62" s="28" t="n">
        <f aca="false">C62*cdc_pct</f>
        <v>2641360</v>
      </c>
      <c r="I62" s="28" t="n">
        <f aca="false">-PMT($H$61/12,amort*12,E62)</f>
        <v>23886.1899678889</v>
      </c>
      <c r="K62" s="28" t="n">
        <f aca="false">-PMT($J$61/12,amort*12,G62)</f>
        <v>17900.7278347449</v>
      </c>
    </row>
    <row r="63" customFormat="false" ht="15" hidden="false" customHeight="false" outlineLevel="0" collapsed="false">
      <c r="B63" s="13" t="s">
        <v>217</v>
      </c>
      <c r="C63" s="28" t="n">
        <f aca="false">-FV($H$61/12,12*C$3,-$I$62,$E$62)-FV($J$61/12,12*C$3,-$K$62,$G$62)</f>
        <v>5943060</v>
      </c>
      <c r="D63" s="28" t="n">
        <f aca="false">-FV($H$61/12,12*D$3,-$I$62,$E$62)-FV($J$61/12,12*D$3,-$K$62,$G$62)</f>
        <v>5851187.74926959</v>
      </c>
      <c r="E63" s="28" t="n">
        <f aca="false">-FV($H$61/12,12*E$3,-$I$62,$E$62)-FV($J$61/12,12*E$3,-$K$62,$G$62)</f>
        <v>5752751.51707287</v>
      </c>
      <c r="F63" s="28" t="n">
        <f aca="false">-FV($H$61/12,12*F$3,-$I$62,$E$62)-FV($J$61/12,12*F$3,-$K$62,$G$62)</f>
        <v>5647280.98126281</v>
      </c>
      <c r="G63" s="28" t="n">
        <f aca="false">-FV($H$61/12,12*G$3,-$I$62,$E$62)-FV($J$61/12,12*G$3,-$K$62,$G$62)</f>
        <v>5534272.02484637</v>
      </c>
      <c r="H63" s="28" t="n">
        <f aca="false">-FV($H$61/12,12*H$3,-$I$62,$E$62)-FV($J$61/12,12*H$3,-$K$62,$G$62)</f>
        <v>5413184.3009349</v>
      </c>
      <c r="I63" s="28" t="n">
        <f aca="false">-FV($H$61/12,12*I$3,-$I$62,$E$62)-FV($J$61/12,12*I$3,-$K$62,$G$62)</f>
        <v>5283438.62176591</v>
      </c>
      <c r="J63" s="28" t="n">
        <f aca="false">-FV($H$61/12,12*J$3,-$I$62,$E$62)-FV($J$61/12,12*J$3,-$K$62,$G$62)</f>
        <v>5144414.15905225</v>
      </c>
      <c r="K63" s="28" t="n">
        <f aca="false">-FV($H$61/12,12*K$3,-$I$62,$E$62)-FV($J$61/12,12*K$3,-$K$62,$G$62)</f>
        <v>4995445.44198932</v>
      </c>
      <c r="L63" s="28" t="n">
        <f aca="false">-FV($H$61/12,12*L$3,-$I$62,$E$62)-FV($J$61/12,12*L$3,-$K$62,$G$62)</f>
        <v>4835819.13825822</v>
      </c>
      <c r="M63" s="28" t="n">
        <f aca="false">-FV($H$61/12,12*M$3,-$I$62,$E$62)-FV($J$61/12,12*M$3,-$K$62,$G$62)</f>
        <v>4664770.60229754</v>
      </c>
    </row>
    <row r="64" customFormat="false" ht="15" hidden="false" customHeight="false" outlineLevel="0" collapsed="false">
      <c r="B64" s="13" t="s">
        <v>169</v>
      </c>
      <c r="C64" s="28" t="n">
        <v>0</v>
      </c>
      <c r="D64" s="28" t="n">
        <f aca="false">(($I$62+$K$62)*12)-(C63-D63)</f>
        <v>409570.762901198</v>
      </c>
      <c r="E64" s="28" t="n">
        <f aca="false">(($I$62+$K$62)*12)-(D63-E63)</f>
        <v>403006.781434879</v>
      </c>
      <c r="F64" s="28" t="n">
        <f aca="false">(($I$62+$K$62)*12)-(E63-F63)</f>
        <v>395972.47782155</v>
      </c>
      <c r="G64" s="28" t="n">
        <f aca="false">(($I$62+$K$62)*12)-(F63-G63)</f>
        <v>388434.057215163</v>
      </c>
      <c r="H64" s="28" t="n">
        <f aca="false">(($I$62+$K$62)*12)-(G63-H63)</f>
        <v>380355.289720131</v>
      </c>
      <c r="I64" s="28" t="n">
        <f aca="false">(($I$62+$K$62)*12)-(H63-I63)</f>
        <v>371697.334462618</v>
      </c>
      <c r="J64" s="28" t="n">
        <f aca="false">(($I$62+$K$62)*12)-(I63-J63)</f>
        <v>362418.550917943</v>
      </c>
      <c r="K64" s="28" t="n">
        <f aca="false">(($I$62+$K$62)*12)-(J63-K63)</f>
        <v>352474.296568672</v>
      </c>
      <c r="L64" s="28" t="n">
        <f aca="false">(($I$62+$K$62)*12)-(K63-L63)</f>
        <v>341816.709900509</v>
      </c>
      <c r="M64" s="28" t="n">
        <f aca="false">(($I$62+$K$62)*12)-(L63-M63)</f>
        <v>330394.477670929</v>
      </c>
    </row>
    <row r="65" customFormat="false" ht="15" hidden="false" customHeight="false" outlineLevel="0" collapsed="false">
      <c r="B65" s="13" t="s">
        <v>171</v>
      </c>
      <c r="C65" s="28" t="n">
        <v>0</v>
      </c>
      <c r="D65" s="28" t="n">
        <f aca="false">(($D$61*sf*(1+close)*bldg_share+base*sf)/bldg_life)+IF(D$3=1,fit*sf*bonus,0)+fit*sf*(1-bonus)/15</f>
        <v>2816794.87179487</v>
      </c>
      <c r="E65" s="28" t="n">
        <f aca="false">(($D$61*sf*(1+close)*bldg_share+base*sf)/bldg_life)+IF(E$3=1,fit*sf*bonus,0)+fit*sf*(1-bonus)/15</f>
        <v>81394.8717948718</v>
      </c>
      <c r="F65" s="28" t="n">
        <f aca="false">(($D$61*sf*(1+close)*bldg_share+base*sf)/bldg_life)+IF(F$3=1,fit*sf*bonus,0)+fit*sf*(1-bonus)/15</f>
        <v>81394.8717948718</v>
      </c>
      <c r="G65" s="28" t="n">
        <f aca="false">(($D$61*sf*(1+close)*bldg_share+base*sf)/bldg_life)+IF(G$3=1,fit*sf*bonus,0)+fit*sf*(1-bonus)/15</f>
        <v>81394.8717948718</v>
      </c>
      <c r="H65" s="28" t="n">
        <f aca="false">(($D$61*sf*(1+close)*bldg_share+base*sf)/bldg_life)+IF(H$3=1,fit*sf*bonus,0)+fit*sf*(1-bonus)/15</f>
        <v>81394.8717948718</v>
      </c>
      <c r="I65" s="28" t="n">
        <f aca="false">(($D$61*sf*(1+close)*bldg_share+base*sf)/bldg_life)+IF(I$3=1,fit*sf*bonus,0)+fit*sf*(1-bonus)/15</f>
        <v>81394.8717948718</v>
      </c>
      <c r="J65" s="28" t="n">
        <f aca="false">(($D$61*sf*(1+close)*bldg_share+base*sf)/bldg_life)+IF(J$3=1,fit*sf*bonus,0)+fit*sf*(1-bonus)/15</f>
        <v>81394.8717948718</v>
      </c>
      <c r="K65" s="28" t="n">
        <f aca="false">(($D$61*sf*(1+close)*bldg_share+base*sf)/bldg_life)+IF(K$3=1,fit*sf*bonus,0)+fit*sf*(1-bonus)/15</f>
        <v>81394.8717948718</v>
      </c>
      <c r="L65" s="28" t="n">
        <f aca="false">(($D$61*sf*(1+close)*bldg_share+base*sf)/bldg_life)+IF(L$3=1,fit*sf*bonus,0)+fit*sf*(1-bonus)/15</f>
        <v>81394.8717948718</v>
      </c>
      <c r="M65" s="28" t="n">
        <f aca="false">(($D$61*sf*(1+close)*bldg_share+base*sf)/bldg_life)+IF(M$3=1,fit*sf*bonus,0)+fit*sf*(1-bonus)/15</f>
        <v>81394.8717948718</v>
      </c>
    </row>
    <row r="66" customFormat="false" ht="15" hidden="false" customHeight="false" outlineLevel="0" collapsed="false">
      <c r="B66" s="13" t="s">
        <v>218</v>
      </c>
      <c r="C66" s="28" t="n">
        <f aca="false">-($C$62-$E$62-$G$62)-carry_m/12*($E$62*$H$61+$G$62*$J$61+Model!$D$8*sf)*(1-tax)</f>
        <v>-857444.845686667</v>
      </c>
      <c r="D66" s="28" t="n">
        <f aca="false">-((($I$62+$K$62)*12)+Model!D35)+tax*(D64+Model!D35+D65)</f>
        <v>-89386.5598454303</v>
      </c>
      <c r="E66" s="28" t="n">
        <f aca="false">-((($I$62+$K$62)*12)+Model!E35)+tax*(E64+Model!E35+E65)</f>
        <v>-673163.405838357</v>
      </c>
      <c r="F66" s="28" t="n">
        <f aca="false">-((($I$62+$K$62)*12)+Model!F35)+tax*(F64+Model!F35+F65)</f>
        <v>-682843.951778706</v>
      </c>
      <c r="G66" s="28" t="n">
        <f aca="false">-((($I$62+$K$62)*12)+Model!G35)+tax*(G64+Model!G35+G65)</f>
        <v>-692876.462553044</v>
      </c>
      <c r="H66" s="28" t="n">
        <f aca="false">-((($I$62+$K$62)*12)+Model!H35)+tax*(H64+Model!H35+H65)</f>
        <v>-703275.929447407</v>
      </c>
      <c r="I66" s="28" t="n">
        <f aca="false">-((($I$62+$K$62)*12)+Model!I35)+tax*(I64+Model!I35+I65)</f>
        <v>-714058.113543504</v>
      </c>
      <c r="J66" s="28" t="n">
        <f aca="false">-((($I$62+$K$62)*12)+Model!J35)+tax*(J64+Model!J35+J65)</f>
        <v>-725239.591984664</v>
      </c>
      <c r="K66" s="28" t="n">
        <f aca="false">-((($I$62+$K$62)*12)+Model!K35)+tax*(K64+Model!K35+K65)</f>
        <v>-736837.807311694</v>
      </c>
      <c r="L66" s="28" t="n">
        <f aca="false">-((($I$62+$K$62)*12)+Model!L35)+tax*(L64+Model!L35+L65)</f>
        <v>-748871.120083101</v>
      </c>
      <c r="M66" s="28" t="n">
        <f aca="false">-((($I$62+$K$62)*12)+Model!M35)+tax*(M64+Model!M35+M65)+($F$61*sf*(1-sale_cost)-M63-tax*($F$61*sf*(1-sale_cost)-($C$62-SUM($C65:$M65))))</f>
        <v>-1057249.31044917</v>
      </c>
    </row>
    <row r="67" customFormat="false" ht="15" hidden="false" customHeight="false" outlineLevel="0" collapsed="false">
      <c r="B67" s="20" t="s">
        <v>219</v>
      </c>
      <c r="C67" s="28" t="n">
        <f aca="false">C66+NPV(disc,D66:M66)</f>
        <v>-5182897.11995776</v>
      </c>
      <c r="D67" s="29" t="n">
        <f aca="false">C67-Model!$D$68</f>
        <v>332369.745636942</v>
      </c>
    </row>
    <row r="69" customFormat="false" ht="15" hidden="false" customHeight="false" outlineLevel="0" collapsed="false">
      <c r="B69" s="20" t="s">
        <v>227</v>
      </c>
      <c r="C69" s="13" t="s">
        <v>212</v>
      </c>
      <c r="D69" s="26" t="n">
        <f aca="false">Sensitivity!$B$7</f>
        <v>170</v>
      </c>
      <c r="E69" s="13" t="s">
        <v>213</v>
      </c>
      <c r="F69" s="26" t="n">
        <f aca="false">Sensitivity!F$5</f>
        <v>300</v>
      </c>
      <c r="G69" s="13" t="s">
        <v>214</v>
      </c>
      <c r="H69" s="27" t="n">
        <f aca="false">bank_rate</f>
        <v>0.0726</v>
      </c>
      <c r="I69" s="13" t="s">
        <v>215</v>
      </c>
      <c r="J69" s="27" t="n">
        <f aca="false">cdc_rate</f>
        <v>0.0654</v>
      </c>
    </row>
    <row r="70" customFormat="false" ht="15" hidden="false" customHeight="false" outlineLevel="0" collapsed="false">
      <c r="B70" s="13" t="s">
        <v>216</v>
      </c>
      <c r="C70" s="28" t="n">
        <f aca="false">$D$69*sf*(1+close)+base*sf+fit*sf</f>
        <v>6603400</v>
      </c>
      <c r="E70" s="28" t="n">
        <f aca="false">C70*bank_pct</f>
        <v>3301700</v>
      </c>
      <c r="G70" s="28" t="n">
        <f aca="false">C70*cdc_pct</f>
        <v>2641360</v>
      </c>
      <c r="I70" s="28" t="n">
        <f aca="false">-PMT($H$69/12,amort*12,E70)</f>
        <v>23886.1899678889</v>
      </c>
      <c r="K70" s="28" t="n">
        <f aca="false">-PMT($J$69/12,amort*12,G70)</f>
        <v>17900.7278347449</v>
      </c>
    </row>
    <row r="71" customFormat="false" ht="15" hidden="false" customHeight="false" outlineLevel="0" collapsed="false">
      <c r="B71" s="13" t="s">
        <v>217</v>
      </c>
      <c r="C71" s="28" t="n">
        <f aca="false">-FV($H$69/12,12*C$3,-$I$70,$E$70)-FV($J$69/12,12*C$3,-$K$70,$G$70)</f>
        <v>5943060</v>
      </c>
      <c r="D71" s="28" t="n">
        <f aca="false">-FV($H$69/12,12*D$3,-$I$70,$E$70)-FV($J$69/12,12*D$3,-$K$70,$G$70)</f>
        <v>5851187.74926959</v>
      </c>
      <c r="E71" s="28" t="n">
        <f aca="false">-FV($H$69/12,12*E$3,-$I$70,$E$70)-FV($J$69/12,12*E$3,-$K$70,$G$70)</f>
        <v>5752751.51707287</v>
      </c>
      <c r="F71" s="28" t="n">
        <f aca="false">-FV($H$69/12,12*F$3,-$I$70,$E$70)-FV($J$69/12,12*F$3,-$K$70,$G$70)</f>
        <v>5647280.98126281</v>
      </c>
      <c r="G71" s="28" t="n">
        <f aca="false">-FV($H$69/12,12*G$3,-$I$70,$E$70)-FV($J$69/12,12*G$3,-$K$70,$G$70)</f>
        <v>5534272.02484637</v>
      </c>
      <c r="H71" s="28" t="n">
        <f aca="false">-FV($H$69/12,12*H$3,-$I$70,$E$70)-FV($J$69/12,12*H$3,-$K$70,$G$70)</f>
        <v>5413184.3009349</v>
      </c>
      <c r="I71" s="28" t="n">
        <f aca="false">-FV($H$69/12,12*I$3,-$I$70,$E$70)-FV($J$69/12,12*I$3,-$K$70,$G$70)</f>
        <v>5283438.62176591</v>
      </c>
      <c r="J71" s="28" t="n">
        <f aca="false">-FV($H$69/12,12*J$3,-$I$70,$E$70)-FV($J$69/12,12*J$3,-$K$70,$G$70)</f>
        <v>5144414.15905225</v>
      </c>
      <c r="K71" s="28" t="n">
        <f aca="false">-FV($H$69/12,12*K$3,-$I$70,$E$70)-FV($J$69/12,12*K$3,-$K$70,$G$70)</f>
        <v>4995445.44198932</v>
      </c>
      <c r="L71" s="28" t="n">
        <f aca="false">-FV($H$69/12,12*L$3,-$I$70,$E$70)-FV($J$69/12,12*L$3,-$K$70,$G$70)</f>
        <v>4835819.13825822</v>
      </c>
      <c r="M71" s="28" t="n">
        <f aca="false">-FV($H$69/12,12*M$3,-$I$70,$E$70)-FV($J$69/12,12*M$3,-$K$70,$G$70)</f>
        <v>4664770.60229754</v>
      </c>
    </row>
    <row r="72" customFormat="false" ht="15" hidden="false" customHeight="false" outlineLevel="0" collapsed="false">
      <c r="B72" s="13" t="s">
        <v>169</v>
      </c>
      <c r="C72" s="28" t="n">
        <v>0</v>
      </c>
      <c r="D72" s="28" t="n">
        <f aca="false">(($I$70+$K$70)*12)-(C71-D71)</f>
        <v>409570.762901198</v>
      </c>
      <c r="E72" s="28" t="n">
        <f aca="false">(($I$70+$K$70)*12)-(D71-E71)</f>
        <v>403006.781434879</v>
      </c>
      <c r="F72" s="28" t="n">
        <f aca="false">(($I$70+$K$70)*12)-(E71-F71)</f>
        <v>395972.47782155</v>
      </c>
      <c r="G72" s="28" t="n">
        <f aca="false">(($I$70+$K$70)*12)-(F71-G71)</f>
        <v>388434.057215163</v>
      </c>
      <c r="H72" s="28" t="n">
        <f aca="false">(($I$70+$K$70)*12)-(G71-H71)</f>
        <v>380355.289720131</v>
      </c>
      <c r="I72" s="28" t="n">
        <f aca="false">(($I$70+$K$70)*12)-(H71-I71)</f>
        <v>371697.334462618</v>
      </c>
      <c r="J72" s="28" t="n">
        <f aca="false">(($I$70+$K$70)*12)-(I71-J71)</f>
        <v>362418.550917943</v>
      </c>
      <c r="K72" s="28" t="n">
        <f aca="false">(($I$70+$K$70)*12)-(J71-K71)</f>
        <v>352474.296568672</v>
      </c>
      <c r="L72" s="28" t="n">
        <f aca="false">(($I$70+$K$70)*12)-(K71-L71)</f>
        <v>341816.709900509</v>
      </c>
      <c r="M72" s="28" t="n">
        <f aca="false">(($I$70+$K$70)*12)-(L71-M71)</f>
        <v>330394.477670929</v>
      </c>
    </row>
    <row r="73" customFormat="false" ht="15" hidden="false" customHeight="false" outlineLevel="0" collapsed="false">
      <c r="B73" s="13" t="s">
        <v>171</v>
      </c>
      <c r="C73" s="28" t="n">
        <v>0</v>
      </c>
      <c r="D73" s="28" t="n">
        <f aca="false">(($D$69*sf*(1+close)*bldg_share+base*sf)/bldg_life)+IF(D$3=1,fit*sf*bonus,0)+fit*sf*(1-bonus)/15</f>
        <v>2816794.87179487</v>
      </c>
      <c r="E73" s="28" t="n">
        <f aca="false">(($D$69*sf*(1+close)*bldg_share+base*sf)/bldg_life)+IF(E$3=1,fit*sf*bonus,0)+fit*sf*(1-bonus)/15</f>
        <v>81394.8717948718</v>
      </c>
      <c r="F73" s="28" t="n">
        <f aca="false">(($D$69*sf*(1+close)*bldg_share+base*sf)/bldg_life)+IF(F$3=1,fit*sf*bonus,0)+fit*sf*(1-bonus)/15</f>
        <v>81394.8717948718</v>
      </c>
      <c r="G73" s="28" t="n">
        <f aca="false">(($D$69*sf*(1+close)*bldg_share+base*sf)/bldg_life)+IF(G$3=1,fit*sf*bonus,0)+fit*sf*(1-bonus)/15</f>
        <v>81394.8717948718</v>
      </c>
      <c r="H73" s="28" t="n">
        <f aca="false">(($D$69*sf*(1+close)*bldg_share+base*sf)/bldg_life)+IF(H$3=1,fit*sf*bonus,0)+fit*sf*(1-bonus)/15</f>
        <v>81394.8717948718</v>
      </c>
      <c r="I73" s="28" t="n">
        <f aca="false">(($D$69*sf*(1+close)*bldg_share+base*sf)/bldg_life)+IF(I$3=1,fit*sf*bonus,0)+fit*sf*(1-bonus)/15</f>
        <v>81394.8717948718</v>
      </c>
      <c r="J73" s="28" t="n">
        <f aca="false">(($D$69*sf*(1+close)*bldg_share+base*sf)/bldg_life)+IF(J$3=1,fit*sf*bonus,0)+fit*sf*(1-bonus)/15</f>
        <v>81394.8717948718</v>
      </c>
      <c r="K73" s="28" t="n">
        <f aca="false">(($D$69*sf*(1+close)*bldg_share+base*sf)/bldg_life)+IF(K$3=1,fit*sf*bonus,0)+fit*sf*(1-bonus)/15</f>
        <v>81394.8717948718</v>
      </c>
      <c r="L73" s="28" t="n">
        <f aca="false">(($D$69*sf*(1+close)*bldg_share+base*sf)/bldg_life)+IF(L$3=1,fit*sf*bonus,0)+fit*sf*(1-bonus)/15</f>
        <v>81394.8717948718</v>
      </c>
      <c r="M73" s="28" t="n">
        <f aca="false">(($D$69*sf*(1+close)*bldg_share+base*sf)/bldg_life)+IF(M$3=1,fit*sf*bonus,0)+fit*sf*(1-bonus)/15</f>
        <v>81394.8717948718</v>
      </c>
    </row>
    <row r="74" customFormat="false" ht="15" hidden="false" customHeight="false" outlineLevel="0" collapsed="false">
      <c r="B74" s="13" t="s">
        <v>218</v>
      </c>
      <c r="C74" s="28" t="n">
        <f aca="false">-($C$70-$E$70-$G$70)-carry_m/12*($E$70*$H$69+$G$70*$J$69+Model!$D$8*sf)*(1-tax)</f>
        <v>-857444.845686667</v>
      </c>
      <c r="D74" s="28" t="n">
        <f aca="false">-((($I$70+$K$70)*12)+Model!D35)+tax*(D72+Model!D35+D73)</f>
        <v>-89386.5598454303</v>
      </c>
      <c r="E74" s="28" t="n">
        <f aca="false">-((($I$70+$K$70)*12)+Model!E35)+tax*(E72+Model!E35+E73)</f>
        <v>-673163.405838357</v>
      </c>
      <c r="F74" s="28" t="n">
        <f aca="false">-((($I$70+$K$70)*12)+Model!F35)+tax*(F72+Model!F35+F73)</f>
        <v>-682843.951778706</v>
      </c>
      <c r="G74" s="28" t="n">
        <f aca="false">-((($I$70+$K$70)*12)+Model!G35)+tax*(G72+Model!G35+G73)</f>
        <v>-692876.462553044</v>
      </c>
      <c r="H74" s="28" t="n">
        <f aca="false">-((($I$70+$K$70)*12)+Model!H35)+tax*(H72+Model!H35+H73)</f>
        <v>-703275.929447407</v>
      </c>
      <c r="I74" s="28" t="n">
        <f aca="false">-((($I$70+$K$70)*12)+Model!I35)+tax*(I72+Model!I35+I73)</f>
        <v>-714058.113543504</v>
      </c>
      <c r="J74" s="28" t="n">
        <f aca="false">-((($I$70+$K$70)*12)+Model!J35)+tax*(J72+Model!J35+J73)</f>
        <v>-725239.591984664</v>
      </c>
      <c r="K74" s="28" t="n">
        <f aca="false">-((($I$70+$K$70)*12)+Model!K35)+tax*(K72+Model!K35+K73)</f>
        <v>-736837.807311694</v>
      </c>
      <c r="L74" s="28" t="n">
        <f aca="false">-((($I$70+$K$70)*12)+Model!L35)+tax*(L72+Model!L35+L73)</f>
        <v>-748871.120083101</v>
      </c>
      <c r="M74" s="28" t="n">
        <f aca="false">-((($I$70+$K$70)*12)+Model!M35)+tax*(M72+Model!M35+M73)+($F$69*sf*(1-sale_cost)-M71-tax*($F$69*sf*(1-sale_cost)-($C$70-SUM($C73:$M73))))</f>
        <v>-186978.698076312</v>
      </c>
    </row>
    <row r="75" customFormat="false" ht="15" hidden="false" customHeight="false" outlineLevel="0" collapsed="false">
      <c r="B75" s="20" t="s">
        <v>219</v>
      </c>
      <c r="C75" s="28" t="n">
        <f aca="false">C74+NPV(disc,D74:M74)</f>
        <v>-4779793.43943518</v>
      </c>
      <c r="D75" s="29" t="n">
        <f aca="false">C75-Model!$D$68</f>
        <v>735473.426159522</v>
      </c>
    </row>
    <row r="77" customFormat="false" ht="15" hidden="false" customHeight="false" outlineLevel="0" collapsed="false">
      <c r="B77" s="20" t="s">
        <v>228</v>
      </c>
      <c r="C77" s="13" t="s">
        <v>212</v>
      </c>
      <c r="D77" s="26" t="n">
        <f aca="false">Sensitivity!$B$7</f>
        <v>170</v>
      </c>
      <c r="E77" s="13" t="s">
        <v>213</v>
      </c>
      <c r="F77" s="26" t="n">
        <f aca="false">Sensitivity!G$5</f>
        <v>389.779066708843</v>
      </c>
      <c r="G77" s="13" t="s">
        <v>214</v>
      </c>
      <c r="H77" s="27" t="n">
        <f aca="false">bank_rate</f>
        <v>0.0726</v>
      </c>
      <c r="I77" s="13" t="s">
        <v>215</v>
      </c>
      <c r="J77" s="27" t="n">
        <f aca="false">cdc_rate</f>
        <v>0.0654</v>
      </c>
    </row>
    <row r="78" customFormat="false" ht="15" hidden="false" customHeight="false" outlineLevel="0" collapsed="false">
      <c r="B78" s="13" t="s">
        <v>216</v>
      </c>
      <c r="C78" s="28" t="n">
        <f aca="false">$D$77*sf*(1+close)+base*sf+fit*sf</f>
        <v>6603400</v>
      </c>
      <c r="E78" s="28" t="n">
        <f aca="false">C78*bank_pct</f>
        <v>3301700</v>
      </c>
      <c r="G78" s="28" t="n">
        <f aca="false">C78*cdc_pct</f>
        <v>2641360</v>
      </c>
      <c r="I78" s="28" t="n">
        <f aca="false">-PMT($H$77/12,amort*12,E78)</f>
        <v>23886.1899678889</v>
      </c>
      <c r="K78" s="28" t="n">
        <f aca="false">-PMT($J$77/12,amort*12,G78)</f>
        <v>17900.7278347449</v>
      </c>
    </row>
    <row r="79" customFormat="false" ht="15" hidden="false" customHeight="false" outlineLevel="0" collapsed="false">
      <c r="B79" s="13" t="s">
        <v>217</v>
      </c>
      <c r="C79" s="28" t="n">
        <f aca="false">-FV($H$77/12,12*C$3,-$I$78,$E$78)-FV($J$77/12,12*C$3,-$K$78,$G$78)</f>
        <v>5943060</v>
      </c>
      <c r="D79" s="28" t="n">
        <f aca="false">-FV($H$77/12,12*D$3,-$I$78,$E$78)-FV($J$77/12,12*D$3,-$K$78,$G$78)</f>
        <v>5851187.74926959</v>
      </c>
      <c r="E79" s="28" t="n">
        <f aca="false">-FV($H$77/12,12*E$3,-$I$78,$E$78)-FV($J$77/12,12*E$3,-$K$78,$G$78)</f>
        <v>5752751.51707287</v>
      </c>
      <c r="F79" s="28" t="n">
        <f aca="false">-FV($H$77/12,12*F$3,-$I$78,$E$78)-FV($J$77/12,12*F$3,-$K$78,$G$78)</f>
        <v>5647280.98126281</v>
      </c>
      <c r="G79" s="28" t="n">
        <f aca="false">-FV($H$77/12,12*G$3,-$I$78,$E$78)-FV($J$77/12,12*G$3,-$K$78,$G$78)</f>
        <v>5534272.02484637</v>
      </c>
      <c r="H79" s="28" t="n">
        <f aca="false">-FV($H$77/12,12*H$3,-$I$78,$E$78)-FV($J$77/12,12*H$3,-$K$78,$G$78)</f>
        <v>5413184.3009349</v>
      </c>
      <c r="I79" s="28" t="n">
        <f aca="false">-FV($H$77/12,12*I$3,-$I$78,$E$78)-FV($J$77/12,12*I$3,-$K$78,$G$78)</f>
        <v>5283438.62176591</v>
      </c>
      <c r="J79" s="28" t="n">
        <f aca="false">-FV($H$77/12,12*J$3,-$I$78,$E$78)-FV($J$77/12,12*J$3,-$K$78,$G$78)</f>
        <v>5144414.15905225</v>
      </c>
      <c r="K79" s="28" t="n">
        <f aca="false">-FV($H$77/12,12*K$3,-$I$78,$E$78)-FV($J$77/12,12*K$3,-$K$78,$G$78)</f>
        <v>4995445.44198932</v>
      </c>
      <c r="L79" s="28" t="n">
        <f aca="false">-FV($H$77/12,12*L$3,-$I$78,$E$78)-FV($J$77/12,12*L$3,-$K$78,$G$78)</f>
        <v>4835819.13825822</v>
      </c>
      <c r="M79" s="28" t="n">
        <f aca="false">-FV($H$77/12,12*M$3,-$I$78,$E$78)-FV($J$77/12,12*M$3,-$K$78,$G$78)</f>
        <v>4664770.60229754</v>
      </c>
    </row>
    <row r="80" customFormat="false" ht="15" hidden="false" customHeight="false" outlineLevel="0" collapsed="false">
      <c r="B80" s="13" t="s">
        <v>169</v>
      </c>
      <c r="C80" s="28" t="n">
        <v>0</v>
      </c>
      <c r="D80" s="28" t="n">
        <f aca="false">(($I$78+$K$78)*12)-(C79-D79)</f>
        <v>409570.762901198</v>
      </c>
      <c r="E80" s="28" t="n">
        <f aca="false">(($I$78+$K$78)*12)-(D79-E79)</f>
        <v>403006.781434879</v>
      </c>
      <c r="F80" s="28" t="n">
        <f aca="false">(($I$78+$K$78)*12)-(E79-F79)</f>
        <v>395972.47782155</v>
      </c>
      <c r="G80" s="28" t="n">
        <f aca="false">(($I$78+$K$78)*12)-(F79-G79)</f>
        <v>388434.057215163</v>
      </c>
      <c r="H80" s="28" t="n">
        <f aca="false">(($I$78+$K$78)*12)-(G79-H79)</f>
        <v>380355.289720131</v>
      </c>
      <c r="I80" s="28" t="n">
        <f aca="false">(($I$78+$K$78)*12)-(H79-I79)</f>
        <v>371697.334462618</v>
      </c>
      <c r="J80" s="28" t="n">
        <f aca="false">(($I$78+$K$78)*12)-(I79-J79)</f>
        <v>362418.550917943</v>
      </c>
      <c r="K80" s="28" t="n">
        <f aca="false">(($I$78+$K$78)*12)-(J79-K79)</f>
        <v>352474.296568672</v>
      </c>
      <c r="L80" s="28" t="n">
        <f aca="false">(($I$78+$K$78)*12)-(K79-L79)</f>
        <v>341816.709900509</v>
      </c>
      <c r="M80" s="28" t="n">
        <f aca="false">(($I$78+$K$78)*12)-(L79-M79)</f>
        <v>330394.477670929</v>
      </c>
    </row>
    <row r="81" customFormat="false" ht="15" hidden="false" customHeight="false" outlineLevel="0" collapsed="false">
      <c r="B81" s="13" t="s">
        <v>171</v>
      </c>
      <c r="C81" s="28" t="n">
        <v>0</v>
      </c>
      <c r="D81" s="28" t="n">
        <f aca="false">(($D$77*sf*(1+close)*bldg_share+base*sf)/bldg_life)+IF(D$3=1,fit*sf*bonus,0)+fit*sf*(1-bonus)/15</f>
        <v>2816794.87179487</v>
      </c>
      <c r="E81" s="28" t="n">
        <f aca="false">(($D$77*sf*(1+close)*bldg_share+base*sf)/bldg_life)+IF(E$3=1,fit*sf*bonus,0)+fit*sf*(1-bonus)/15</f>
        <v>81394.8717948718</v>
      </c>
      <c r="F81" s="28" t="n">
        <f aca="false">(($D$77*sf*(1+close)*bldg_share+base*sf)/bldg_life)+IF(F$3=1,fit*sf*bonus,0)+fit*sf*(1-bonus)/15</f>
        <v>81394.8717948718</v>
      </c>
      <c r="G81" s="28" t="n">
        <f aca="false">(($D$77*sf*(1+close)*bldg_share+base*sf)/bldg_life)+IF(G$3=1,fit*sf*bonus,0)+fit*sf*(1-bonus)/15</f>
        <v>81394.8717948718</v>
      </c>
      <c r="H81" s="28" t="n">
        <f aca="false">(($D$77*sf*(1+close)*bldg_share+base*sf)/bldg_life)+IF(H$3=1,fit*sf*bonus,0)+fit*sf*(1-bonus)/15</f>
        <v>81394.8717948718</v>
      </c>
      <c r="I81" s="28" t="n">
        <f aca="false">(($D$77*sf*(1+close)*bldg_share+base*sf)/bldg_life)+IF(I$3=1,fit*sf*bonus,0)+fit*sf*(1-bonus)/15</f>
        <v>81394.8717948718</v>
      </c>
      <c r="J81" s="28" t="n">
        <f aca="false">(($D$77*sf*(1+close)*bldg_share+base*sf)/bldg_life)+IF(J$3=1,fit*sf*bonus,0)+fit*sf*(1-bonus)/15</f>
        <v>81394.8717948718</v>
      </c>
      <c r="K81" s="28" t="n">
        <f aca="false">(($D$77*sf*(1+close)*bldg_share+base*sf)/bldg_life)+IF(K$3=1,fit*sf*bonus,0)+fit*sf*(1-bonus)/15</f>
        <v>81394.8717948718</v>
      </c>
      <c r="L81" s="28" t="n">
        <f aca="false">(($D$77*sf*(1+close)*bldg_share+base*sf)/bldg_life)+IF(L$3=1,fit*sf*bonus,0)+fit*sf*(1-bonus)/15</f>
        <v>81394.8717948718</v>
      </c>
      <c r="M81" s="28" t="n">
        <f aca="false">(($D$77*sf*(1+close)*bldg_share+base*sf)/bldg_life)+IF(M$3=1,fit*sf*bonus,0)+fit*sf*(1-bonus)/15</f>
        <v>81394.8717948718</v>
      </c>
    </row>
    <row r="82" customFormat="false" ht="15" hidden="false" customHeight="false" outlineLevel="0" collapsed="false">
      <c r="B82" s="13" t="s">
        <v>218</v>
      </c>
      <c r="C82" s="28" t="n">
        <f aca="false">-($C$78-$E$78-$G$78)-carry_m/12*($E$78*$H$77+$G$78*$J$77+Model!$D$8*sf)*(1-tax)</f>
        <v>-857444.845686667</v>
      </c>
      <c r="D82" s="28" t="n">
        <f aca="false">-((($I$78+$K$78)*12)+Model!D35)+tax*(D80+Model!D35+D81)</f>
        <v>-89386.5598454303</v>
      </c>
      <c r="E82" s="28" t="n">
        <f aca="false">-((($I$78+$K$78)*12)+Model!E35)+tax*(E80+Model!E35+E81)</f>
        <v>-673163.405838357</v>
      </c>
      <c r="F82" s="28" t="n">
        <f aca="false">-((($I$78+$K$78)*12)+Model!F35)+tax*(F80+Model!F35+F81)</f>
        <v>-682843.951778706</v>
      </c>
      <c r="G82" s="28" t="n">
        <f aca="false">-((($I$78+$K$78)*12)+Model!G35)+tax*(G80+Model!G35+G81)</f>
        <v>-692876.462553044</v>
      </c>
      <c r="H82" s="28" t="n">
        <f aca="false">-((($I$78+$K$78)*12)+Model!H35)+tax*(H80+Model!H35+H81)</f>
        <v>-703275.929447407</v>
      </c>
      <c r="I82" s="28" t="n">
        <f aca="false">-((($I$78+$K$78)*12)+Model!I35)+tax*(I80+Model!I35+I81)</f>
        <v>-714058.113543504</v>
      </c>
      <c r="J82" s="28" t="n">
        <f aca="false">-((($I$78+$K$78)*12)+Model!J35)+tax*(J80+Model!J35+J81)</f>
        <v>-725239.591984664</v>
      </c>
      <c r="K82" s="28" t="n">
        <f aca="false">-((($I$78+$K$78)*12)+Model!K35)+tax*(K80+Model!K35+K81)</f>
        <v>-736837.807311694</v>
      </c>
      <c r="L82" s="28" t="n">
        <f aca="false">-((($I$78+$K$78)*12)+Model!L35)+tax*(L80+Model!L35+L81)</f>
        <v>-748871.120083101</v>
      </c>
      <c r="M82" s="28" t="n">
        <f aca="false">-((($I$78+$K$78)*12)+Model!M35)+tax*(M80+Model!M35+M81)+($F$77*sf*(1-sale_cost)-M79-tax*($F$77*sf*(1-sale_cost)-($C$78-SUM($C81:$M81))))</f>
        <v>1188975.27830342</v>
      </c>
    </row>
    <row r="83" customFormat="false" ht="15" hidden="false" customHeight="false" outlineLevel="0" collapsed="false">
      <c r="B83" s="20" t="s">
        <v>219</v>
      </c>
      <c r="C83" s="28" t="n">
        <f aca="false">C82+NPV(disc,D82:M82)</f>
        <v>-4142460.51767187</v>
      </c>
      <c r="D83" s="29" t="n">
        <f aca="false">C83-Model!$D$68</f>
        <v>1372806.34792284</v>
      </c>
    </row>
    <row r="85" customFormat="false" ht="15" hidden="false" customHeight="false" outlineLevel="0" collapsed="false">
      <c r="B85" s="20" t="s">
        <v>229</v>
      </c>
      <c r="C85" s="13" t="s">
        <v>212</v>
      </c>
      <c r="D85" s="26" t="n">
        <f aca="false">Sensitivity!$B$8</f>
        <v>190</v>
      </c>
      <c r="E85" s="13" t="s">
        <v>213</v>
      </c>
      <c r="F85" s="26" t="n">
        <f aca="false">Sensitivity!C$5</f>
        <v>160</v>
      </c>
      <c r="G85" s="13" t="s">
        <v>214</v>
      </c>
      <c r="H85" s="27" t="n">
        <f aca="false">bank_rate</f>
        <v>0.0726</v>
      </c>
      <c r="I85" s="13" t="s">
        <v>215</v>
      </c>
      <c r="J85" s="27" t="n">
        <f aca="false">cdc_rate</f>
        <v>0.0654</v>
      </c>
    </row>
    <row r="86" customFormat="false" ht="15" hidden="false" customHeight="false" outlineLevel="0" collapsed="false">
      <c r="B86" s="13" t="s">
        <v>216</v>
      </c>
      <c r="C86" s="28" t="n">
        <f aca="false">$D$85*sf*(1+close)+base*sf+fit*sf</f>
        <v>7011400</v>
      </c>
      <c r="E86" s="28" t="n">
        <f aca="false">C86*bank_pct</f>
        <v>3505700</v>
      </c>
      <c r="G86" s="28" t="n">
        <f aca="false">C86*cdc_pct</f>
        <v>2804560</v>
      </c>
      <c r="I86" s="28" t="n">
        <f aca="false">-PMT($H$85/12,amort*12,E86)</f>
        <v>25362.0305207705</v>
      </c>
      <c r="K86" s="28" t="n">
        <f aca="false">-PMT($J$85/12,amort*12,G86)</f>
        <v>19006.7485144819</v>
      </c>
    </row>
    <row r="87" customFormat="false" ht="15" hidden="false" customHeight="false" outlineLevel="0" collapsed="false">
      <c r="B87" s="13" t="s">
        <v>217</v>
      </c>
      <c r="C87" s="28" t="n">
        <f aca="false">-FV($H$85/12,12*C$3,-$I$86,$E$86)-FV($J$85/12,12*C$3,-$K$86,$G$86)</f>
        <v>6310260</v>
      </c>
      <c r="D87" s="28" t="n">
        <f aca="false">-FV($H$85/12,12*D$3,-$I$86,$E$86)-FV($J$85/12,12*D$3,-$K$86,$G$86)</f>
        <v>6212711.29800237</v>
      </c>
      <c r="E87" s="28" t="n">
        <f aca="false">-FV($H$85/12,12*E$3,-$I$86,$E$86)-FV($J$85/12,12*E$3,-$K$86,$G$86)</f>
        <v>6108193.05006583</v>
      </c>
      <c r="F87" s="28" t="n">
        <f aca="false">-FV($H$85/12,12*F$3,-$I$86,$E$86)-FV($J$85/12,12*F$3,-$K$86,$G$86)</f>
        <v>5996205.87455343</v>
      </c>
      <c r="G87" s="28" t="n">
        <f aca="false">-FV($H$85/12,12*G$3,-$I$86,$E$86)-FV($J$85/12,12*G$3,-$K$86,$G$86)</f>
        <v>5876214.50692187</v>
      </c>
      <c r="H87" s="28" t="n">
        <f aca="false">-FV($H$85/12,12*H$3,-$I$86,$E$86)-FV($J$85/12,12*H$3,-$K$86,$G$86)</f>
        <v>5747645.21421918</v>
      </c>
      <c r="I87" s="28" t="n">
        <f aca="false">-FV($H$85/12,12*I$3,-$I$86,$E$86)-FV($J$85/12,12*I$3,-$K$86,$G$86)</f>
        <v>5609883.02278364</v>
      </c>
      <c r="J87" s="28" t="n">
        <f aca="false">-FV($H$85/12,12*J$3,-$I$86,$E$86)-FV($J$85/12,12*J$3,-$K$86,$G$86)</f>
        <v>5462268.7456127</v>
      </c>
      <c r="K87" s="28" t="n">
        <f aca="false">-FV($H$85/12,12*K$3,-$I$86,$E$86)-FV($J$85/12,12*K$3,-$K$86,$G$86)</f>
        <v>5304095.79488807</v>
      </c>
      <c r="L87" s="28" t="n">
        <f aca="false">-FV($H$85/12,12*L$3,-$I$86,$E$86)-FV($J$85/12,12*L$3,-$K$86,$G$86)</f>
        <v>5134606.76408875</v>
      </c>
      <c r="M87" s="28" t="n">
        <f aca="false">-FV($H$85/12,12*M$3,-$I$86,$E$86)-FV($J$85/12,12*M$3,-$K$86,$G$86)</f>
        <v>4952989.76299315</v>
      </c>
    </row>
    <row r="88" customFormat="false" ht="15" hidden="false" customHeight="false" outlineLevel="0" collapsed="false">
      <c r="B88" s="13" t="s">
        <v>169</v>
      </c>
      <c r="C88" s="28" t="n">
        <v>0</v>
      </c>
      <c r="D88" s="28" t="n">
        <f aca="false">(($I$86+$K$86)*12)-(C87-D87)</f>
        <v>434876.646425396</v>
      </c>
      <c r="E88" s="28" t="n">
        <f aca="false">(($I$86+$K$86)*12)-(D87-E87)</f>
        <v>427907.100486494</v>
      </c>
      <c r="F88" s="28" t="n">
        <f aca="false">(($I$86+$K$86)*12)-(E87-F87)</f>
        <v>420438.172910625</v>
      </c>
      <c r="G88" s="28" t="n">
        <f aca="false">(($I$86+$K$86)*12)-(F87-G87)</f>
        <v>412433.98079147</v>
      </c>
      <c r="H88" s="28" t="n">
        <f aca="false">(($I$86+$K$86)*12)-(G87-H87)</f>
        <v>403856.055720346</v>
      </c>
      <c r="I88" s="28" t="n">
        <f aca="false">(($I$86+$K$86)*12)-(H87-I87)</f>
        <v>394663.156987491</v>
      </c>
      <c r="J88" s="28" t="n">
        <f aca="false">(($I$86+$K$86)*12)-(I87-J87)</f>
        <v>384811.071252092</v>
      </c>
      <c r="K88" s="28" t="n">
        <f aca="false">(($I$86+$K$86)*12)-(J87-K87)</f>
        <v>374252.397698396</v>
      </c>
      <c r="L88" s="28" t="n">
        <f aca="false">(($I$86+$K$86)*12)-(K87-L87)</f>
        <v>362936.317623714</v>
      </c>
      <c r="M88" s="28" t="n">
        <f aca="false">(($I$86+$K$86)*12)-(L87-M87)</f>
        <v>350808.347327429</v>
      </c>
    </row>
    <row r="89" customFormat="false" ht="15" hidden="false" customHeight="false" outlineLevel="0" collapsed="false">
      <c r="B89" s="13" t="s">
        <v>171</v>
      </c>
      <c r="C89" s="28" t="n">
        <v>0</v>
      </c>
      <c r="D89" s="28" t="n">
        <f aca="false">(($D$85*sf*(1+close)*bldg_share+base*sf)/bldg_life)+IF(D$3=1,fit*sf*bonus,0)+fit*sf*(1-bonus)/15</f>
        <v>2825164.1025641</v>
      </c>
      <c r="E89" s="28" t="n">
        <f aca="false">(($D$85*sf*(1+close)*bldg_share+base*sf)/bldg_life)+IF(E$3=1,fit*sf*bonus,0)+fit*sf*(1-bonus)/15</f>
        <v>89764.1025641026</v>
      </c>
      <c r="F89" s="28" t="n">
        <f aca="false">(($D$85*sf*(1+close)*bldg_share+base*sf)/bldg_life)+IF(F$3=1,fit*sf*bonus,0)+fit*sf*(1-bonus)/15</f>
        <v>89764.1025641026</v>
      </c>
      <c r="G89" s="28" t="n">
        <f aca="false">(($D$85*sf*(1+close)*bldg_share+base*sf)/bldg_life)+IF(G$3=1,fit*sf*bonus,0)+fit*sf*(1-bonus)/15</f>
        <v>89764.1025641026</v>
      </c>
      <c r="H89" s="28" t="n">
        <f aca="false">(($D$85*sf*(1+close)*bldg_share+base*sf)/bldg_life)+IF(H$3=1,fit*sf*bonus,0)+fit*sf*(1-bonus)/15</f>
        <v>89764.1025641026</v>
      </c>
      <c r="I89" s="28" t="n">
        <f aca="false">(($D$85*sf*(1+close)*bldg_share+base*sf)/bldg_life)+IF(I$3=1,fit*sf*bonus,0)+fit*sf*(1-bonus)/15</f>
        <v>89764.1025641026</v>
      </c>
      <c r="J89" s="28" t="n">
        <f aca="false">(($D$85*sf*(1+close)*bldg_share+base*sf)/bldg_life)+IF(J$3=1,fit*sf*bonus,0)+fit*sf*(1-bonus)/15</f>
        <v>89764.1025641026</v>
      </c>
      <c r="K89" s="28" t="n">
        <f aca="false">(($D$85*sf*(1+close)*bldg_share+base*sf)/bldg_life)+IF(K$3=1,fit*sf*bonus,0)+fit*sf*(1-bonus)/15</f>
        <v>89764.1025641026</v>
      </c>
      <c r="L89" s="28" t="n">
        <f aca="false">(($D$85*sf*(1+close)*bldg_share+base*sf)/bldg_life)+IF(L$3=1,fit*sf*bonus,0)+fit*sf*(1-bonus)/15</f>
        <v>89764.1025641026</v>
      </c>
      <c r="M89" s="28" t="n">
        <f aca="false">(($D$85*sf*(1+close)*bldg_share+base*sf)/bldg_life)+IF(M$3=1,fit*sf*bonus,0)+fit*sf*(1-bonus)/15</f>
        <v>89764.1025641026</v>
      </c>
    </row>
    <row r="90" customFormat="false" ht="15" hidden="false" customHeight="false" outlineLevel="0" collapsed="false">
      <c r="B90" s="13" t="s">
        <v>218</v>
      </c>
      <c r="C90" s="28" t="n">
        <f aca="false">-($C$86-$E$86-$G$86)-carry_m/12*($E$86*$H$85+$G$86*$J$85+Model!$D$8*sf)*(1-tax)</f>
        <v>-904955.548086667</v>
      </c>
      <c r="D90" s="28" t="n">
        <f aca="false">-((($I$86+$K$86)*12)+Model!D35)+tax*(D88+Model!D35+D89)</f>
        <v>-113297.120635235</v>
      </c>
      <c r="E90" s="28" t="n">
        <f aca="false">-((($I$86+$K$86)*12)+Model!E35)+tax*(E88+Model!E35+E89)</f>
        <v>-697159.135167405</v>
      </c>
      <c r="F90" s="28" t="n">
        <f aca="false">-((($I$86+$K$86)*12)+Model!F35)+tax*(F88+Model!F35+F89)</f>
        <v>-706930.952139887</v>
      </c>
      <c r="G90" s="28" t="n">
        <f aca="false">-((($I$86+$K$86)*12)+Model!G35)+tax*(G88+Model!G35+G89)</f>
        <v>-717061.274931906</v>
      </c>
      <c r="H90" s="28" t="n">
        <f aca="false">-((($I$86+$K$86)*12)+Model!H35)+tax*(H88+Model!H35+H89)</f>
        <v>-727565.564917249</v>
      </c>
      <c r="I90" s="28" t="n">
        <f aca="false">-((($I$86+$K$86)*12)+Model!I35)+tax*(I88+Model!I35+I89)</f>
        <v>-738460.087143167</v>
      </c>
      <c r="J90" s="28" t="n">
        <f aca="false">-((($I$86+$K$86)*12)+Model!J35)+tax*(J88+Model!J35+J89)</f>
        <v>-749761.95904438</v>
      </c>
      <c r="K90" s="28" t="n">
        <f aca="false">-((($I$86+$K$86)*12)+Model!K35)+tax*(K88+Model!K35+K89)</f>
        <v>-761489.202404339</v>
      </c>
      <c r="L90" s="28" t="n">
        <f aca="false">-((($I$86+$K$86)*12)+Model!L35)+tax*(L88+Model!L35+L89)</f>
        <v>-773660.798791115</v>
      </c>
      <c r="M90" s="28" t="n">
        <f aca="false">-((($I$86+$K$86)*12)+Model!M35)+tax*(M88+Model!M35+M89)+($F$85*sf*(1-sale_cost)-M87-tax*($F$85*sf*(1-sale_cost)-($C$86-SUM($C89:$M89))))</f>
        <v>-2577671.12708933</v>
      </c>
    </row>
    <row r="91" customFormat="false" ht="15" hidden="false" customHeight="false" outlineLevel="0" collapsed="false">
      <c r="B91" s="20" t="s">
        <v>219</v>
      </c>
      <c r="C91" s="28" t="n">
        <f aca="false">C90+NPV(disc,D90:M90)</f>
        <v>-6086203.24084736</v>
      </c>
      <c r="D91" s="29" t="n">
        <f aca="false">C91-Model!$D$68</f>
        <v>-570936.375252653</v>
      </c>
    </row>
    <row r="93" customFormat="false" ht="15" hidden="false" customHeight="false" outlineLevel="0" collapsed="false">
      <c r="B93" s="20" t="s">
        <v>230</v>
      </c>
      <c r="C93" s="13" t="s">
        <v>212</v>
      </c>
      <c r="D93" s="26" t="n">
        <f aca="false">Sensitivity!$B$8</f>
        <v>190</v>
      </c>
      <c r="E93" s="13" t="s">
        <v>213</v>
      </c>
      <c r="F93" s="26" t="n">
        <f aca="false">Sensitivity!D$5</f>
        <v>190</v>
      </c>
      <c r="G93" s="13" t="s">
        <v>214</v>
      </c>
      <c r="H93" s="27" t="n">
        <f aca="false">bank_rate</f>
        <v>0.0726</v>
      </c>
      <c r="I93" s="13" t="s">
        <v>215</v>
      </c>
      <c r="J93" s="27" t="n">
        <f aca="false">cdc_rate</f>
        <v>0.0654</v>
      </c>
    </row>
    <row r="94" customFormat="false" ht="15" hidden="false" customHeight="false" outlineLevel="0" collapsed="false">
      <c r="B94" s="13" t="s">
        <v>216</v>
      </c>
      <c r="C94" s="28" t="n">
        <f aca="false">$D$93*sf*(1+close)+base*sf+fit*sf</f>
        <v>7011400</v>
      </c>
      <c r="E94" s="28" t="n">
        <f aca="false">C94*bank_pct</f>
        <v>3505700</v>
      </c>
      <c r="G94" s="28" t="n">
        <f aca="false">C94*cdc_pct</f>
        <v>2804560</v>
      </c>
      <c r="I94" s="28" t="n">
        <f aca="false">-PMT($H$93/12,amort*12,E94)</f>
        <v>25362.0305207705</v>
      </c>
      <c r="K94" s="28" t="n">
        <f aca="false">-PMT($J$93/12,amort*12,G94)</f>
        <v>19006.7485144819</v>
      </c>
    </row>
    <row r="95" customFormat="false" ht="15" hidden="false" customHeight="false" outlineLevel="0" collapsed="false">
      <c r="B95" s="13" t="s">
        <v>217</v>
      </c>
      <c r="C95" s="28" t="n">
        <f aca="false">-FV($H$93/12,12*C$3,-$I$94,$E$94)-FV($J$93/12,12*C$3,-$K$94,$G$94)</f>
        <v>6310260</v>
      </c>
      <c r="D95" s="28" t="n">
        <f aca="false">-FV($H$93/12,12*D$3,-$I$94,$E$94)-FV($J$93/12,12*D$3,-$K$94,$G$94)</f>
        <v>6212711.29800237</v>
      </c>
      <c r="E95" s="28" t="n">
        <f aca="false">-FV($H$93/12,12*E$3,-$I$94,$E$94)-FV($J$93/12,12*E$3,-$K$94,$G$94)</f>
        <v>6108193.05006583</v>
      </c>
      <c r="F95" s="28" t="n">
        <f aca="false">-FV($H$93/12,12*F$3,-$I$94,$E$94)-FV($J$93/12,12*F$3,-$K$94,$G$94)</f>
        <v>5996205.87455343</v>
      </c>
      <c r="G95" s="28" t="n">
        <f aca="false">-FV($H$93/12,12*G$3,-$I$94,$E$94)-FV($J$93/12,12*G$3,-$K$94,$G$94)</f>
        <v>5876214.50692187</v>
      </c>
      <c r="H95" s="28" t="n">
        <f aca="false">-FV($H$93/12,12*H$3,-$I$94,$E$94)-FV($J$93/12,12*H$3,-$K$94,$G$94)</f>
        <v>5747645.21421918</v>
      </c>
      <c r="I95" s="28" t="n">
        <f aca="false">-FV($H$93/12,12*I$3,-$I$94,$E$94)-FV($J$93/12,12*I$3,-$K$94,$G$94)</f>
        <v>5609883.02278364</v>
      </c>
      <c r="J95" s="28" t="n">
        <f aca="false">-FV($H$93/12,12*J$3,-$I$94,$E$94)-FV($J$93/12,12*J$3,-$K$94,$G$94)</f>
        <v>5462268.7456127</v>
      </c>
      <c r="K95" s="28" t="n">
        <f aca="false">-FV($H$93/12,12*K$3,-$I$94,$E$94)-FV($J$93/12,12*K$3,-$K$94,$G$94)</f>
        <v>5304095.79488807</v>
      </c>
      <c r="L95" s="28" t="n">
        <f aca="false">-FV($H$93/12,12*L$3,-$I$94,$E$94)-FV($J$93/12,12*L$3,-$K$94,$G$94)</f>
        <v>5134606.76408875</v>
      </c>
      <c r="M95" s="28" t="n">
        <f aca="false">-FV($H$93/12,12*M$3,-$I$94,$E$94)-FV($J$93/12,12*M$3,-$K$94,$G$94)</f>
        <v>4952989.76299315</v>
      </c>
    </row>
    <row r="96" customFormat="false" ht="15" hidden="false" customHeight="false" outlineLevel="0" collapsed="false">
      <c r="B96" s="13" t="s">
        <v>169</v>
      </c>
      <c r="C96" s="28" t="n">
        <v>0</v>
      </c>
      <c r="D96" s="28" t="n">
        <f aca="false">(($I$94+$K$94)*12)-(C95-D95)</f>
        <v>434876.646425396</v>
      </c>
      <c r="E96" s="28" t="n">
        <f aca="false">(($I$94+$K$94)*12)-(D95-E95)</f>
        <v>427907.100486494</v>
      </c>
      <c r="F96" s="28" t="n">
        <f aca="false">(($I$94+$K$94)*12)-(E95-F95)</f>
        <v>420438.172910625</v>
      </c>
      <c r="G96" s="28" t="n">
        <f aca="false">(($I$94+$K$94)*12)-(F95-G95)</f>
        <v>412433.98079147</v>
      </c>
      <c r="H96" s="28" t="n">
        <f aca="false">(($I$94+$K$94)*12)-(G95-H95)</f>
        <v>403856.055720346</v>
      </c>
      <c r="I96" s="28" t="n">
        <f aca="false">(($I$94+$K$94)*12)-(H95-I95)</f>
        <v>394663.156987491</v>
      </c>
      <c r="J96" s="28" t="n">
        <f aca="false">(($I$94+$K$94)*12)-(I95-J95)</f>
        <v>384811.071252092</v>
      </c>
      <c r="K96" s="28" t="n">
        <f aca="false">(($I$94+$K$94)*12)-(J95-K95)</f>
        <v>374252.397698396</v>
      </c>
      <c r="L96" s="28" t="n">
        <f aca="false">(($I$94+$K$94)*12)-(K95-L95)</f>
        <v>362936.317623714</v>
      </c>
      <c r="M96" s="28" t="n">
        <f aca="false">(($I$94+$K$94)*12)-(L95-M95)</f>
        <v>350808.347327429</v>
      </c>
    </row>
    <row r="97" customFormat="false" ht="15" hidden="false" customHeight="false" outlineLevel="0" collapsed="false">
      <c r="B97" s="13" t="s">
        <v>171</v>
      </c>
      <c r="C97" s="28" t="n">
        <v>0</v>
      </c>
      <c r="D97" s="28" t="n">
        <f aca="false">(($D$93*sf*(1+close)*bldg_share+base*sf)/bldg_life)+IF(D$3=1,fit*sf*bonus,0)+fit*sf*(1-bonus)/15</f>
        <v>2825164.1025641</v>
      </c>
      <c r="E97" s="28" t="n">
        <f aca="false">(($D$93*sf*(1+close)*bldg_share+base*sf)/bldg_life)+IF(E$3=1,fit*sf*bonus,0)+fit*sf*(1-bonus)/15</f>
        <v>89764.1025641026</v>
      </c>
      <c r="F97" s="28" t="n">
        <f aca="false">(($D$93*sf*(1+close)*bldg_share+base*sf)/bldg_life)+IF(F$3=1,fit*sf*bonus,0)+fit*sf*(1-bonus)/15</f>
        <v>89764.1025641026</v>
      </c>
      <c r="G97" s="28" t="n">
        <f aca="false">(($D$93*sf*(1+close)*bldg_share+base*sf)/bldg_life)+IF(G$3=1,fit*sf*bonus,0)+fit*sf*(1-bonus)/15</f>
        <v>89764.1025641026</v>
      </c>
      <c r="H97" s="28" t="n">
        <f aca="false">(($D$93*sf*(1+close)*bldg_share+base*sf)/bldg_life)+IF(H$3=1,fit*sf*bonus,0)+fit*sf*(1-bonus)/15</f>
        <v>89764.1025641026</v>
      </c>
      <c r="I97" s="28" t="n">
        <f aca="false">(($D$93*sf*(1+close)*bldg_share+base*sf)/bldg_life)+IF(I$3=1,fit*sf*bonus,0)+fit*sf*(1-bonus)/15</f>
        <v>89764.1025641026</v>
      </c>
      <c r="J97" s="28" t="n">
        <f aca="false">(($D$93*sf*(1+close)*bldg_share+base*sf)/bldg_life)+IF(J$3=1,fit*sf*bonus,0)+fit*sf*(1-bonus)/15</f>
        <v>89764.1025641026</v>
      </c>
      <c r="K97" s="28" t="n">
        <f aca="false">(($D$93*sf*(1+close)*bldg_share+base*sf)/bldg_life)+IF(K$3=1,fit*sf*bonus,0)+fit*sf*(1-bonus)/15</f>
        <v>89764.1025641026</v>
      </c>
      <c r="L97" s="28" t="n">
        <f aca="false">(($D$93*sf*(1+close)*bldg_share+base*sf)/bldg_life)+IF(L$3=1,fit*sf*bonus,0)+fit*sf*(1-bonus)/15</f>
        <v>89764.1025641026</v>
      </c>
      <c r="M97" s="28" t="n">
        <f aca="false">(($D$93*sf*(1+close)*bldg_share+base*sf)/bldg_life)+IF(M$3=1,fit*sf*bonus,0)+fit*sf*(1-bonus)/15</f>
        <v>89764.1025641026</v>
      </c>
    </row>
    <row r="98" customFormat="false" ht="15" hidden="false" customHeight="false" outlineLevel="0" collapsed="false">
      <c r="B98" s="13" t="s">
        <v>218</v>
      </c>
      <c r="C98" s="28" t="n">
        <f aca="false">-($C$94-$E$94-$G$94)-carry_m/12*($E$94*$H$93+$G$94*$J$93+Model!$D$8*sf)*(1-tax)</f>
        <v>-904955.548086667</v>
      </c>
      <c r="D98" s="28" t="n">
        <f aca="false">-((($I$94+$K$94)*12)+Model!D35)+tax*(D96+Model!D35+D97)</f>
        <v>-113297.120635235</v>
      </c>
      <c r="E98" s="28" t="n">
        <f aca="false">-((($I$94+$K$94)*12)+Model!E35)+tax*(E96+Model!E35+E97)</f>
        <v>-697159.135167405</v>
      </c>
      <c r="F98" s="28" t="n">
        <f aca="false">-((($I$94+$K$94)*12)+Model!F35)+tax*(F96+Model!F35+F97)</f>
        <v>-706930.952139887</v>
      </c>
      <c r="G98" s="28" t="n">
        <f aca="false">-((($I$94+$K$94)*12)+Model!G35)+tax*(G96+Model!G35+G97)</f>
        <v>-717061.274931906</v>
      </c>
      <c r="H98" s="28" t="n">
        <f aca="false">-((($I$94+$K$94)*12)+Model!H35)+tax*(H96+Model!H35+H97)</f>
        <v>-727565.564917249</v>
      </c>
      <c r="I98" s="28" t="n">
        <f aca="false">-((($I$94+$K$94)*12)+Model!I35)+tax*(I96+Model!I35+I97)</f>
        <v>-738460.087143167</v>
      </c>
      <c r="J98" s="28" t="n">
        <f aca="false">-((($I$94+$K$94)*12)+Model!J35)+tax*(J96+Model!J35+J97)</f>
        <v>-749761.95904438</v>
      </c>
      <c r="K98" s="28" t="n">
        <f aca="false">-((($I$94+$K$94)*12)+Model!K35)+tax*(K96+Model!K35+K97)</f>
        <v>-761489.202404339</v>
      </c>
      <c r="L98" s="28" t="n">
        <f aca="false">-((($I$94+$K$94)*12)+Model!L35)+tax*(L96+Model!L35+L97)</f>
        <v>-773660.798791115</v>
      </c>
      <c r="M98" s="28" t="n">
        <f aca="false">-((($I$94+$K$94)*12)+Model!M35)+tax*(M96+Model!M35+M97)+($F$93*sf*(1-sale_cost)-M95-tax*($F$93*sf*(1-sale_cost)-($C$94-SUM($C97:$M97))))</f>
        <v>-2117891.12708933</v>
      </c>
    </row>
    <row r="99" customFormat="false" ht="15" hidden="false" customHeight="false" outlineLevel="0" collapsed="false">
      <c r="B99" s="20" t="s">
        <v>219</v>
      </c>
      <c r="C99" s="28" t="n">
        <f aca="false">C98+NPV(disc,D98:M98)</f>
        <v>-5873236.13889578</v>
      </c>
      <c r="D99" s="29" t="n">
        <f aca="false">C99-Model!$D$68</f>
        <v>-357969.273301077</v>
      </c>
    </row>
    <row r="101" customFormat="false" ht="15" hidden="false" customHeight="false" outlineLevel="0" collapsed="false">
      <c r="B101" s="20" t="s">
        <v>231</v>
      </c>
      <c r="C101" s="13" t="s">
        <v>212</v>
      </c>
      <c r="D101" s="26" t="n">
        <f aca="false">Sensitivity!$B$8</f>
        <v>190</v>
      </c>
      <c r="E101" s="13" t="s">
        <v>213</v>
      </c>
      <c r="F101" s="26" t="n">
        <f aca="false">Sensitivity!E$5</f>
        <v>243.216063397308</v>
      </c>
      <c r="G101" s="13" t="s">
        <v>214</v>
      </c>
      <c r="H101" s="27" t="n">
        <f aca="false">bank_rate</f>
        <v>0.0726</v>
      </c>
      <c r="I101" s="13" t="s">
        <v>215</v>
      </c>
      <c r="J101" s="27" t="n">
        <f aca="false">cdc_rate</f>
        <v>0.0654</v>
      </c>
    </row>
    <row r="102" customFormat="false" ht="15" hidden="false" customHeight="false" outlineLevel="0" collapsed="false">
      <c r="B102" s="13" t="s">
        <v>216</v>
      </c>
      <c r="C102" s="28" t="n">
        <f aca="false">$D$101*sf*(1+close)+base*sf+fit*sf</f>
        <v>7011400</v>
      </c>
      <c r="E102" s="28" t="n">
        <f aca="false">C102*bank_pct</f>
        <v>3505700</v>
      </c>
      <c r="G102" s="28" t="n">
        <f aca="false">C102*cdc_pct</f>
        <v>2804560</v>
      </c>
      <c r="I102" s="28" t="n">
        <f aca="false">-PMT($H$101/12,amort*12,E102)</f>
        <v>25362.0305207705</v>
      </c>
      <c r="K102" s="28" t="n">
        <f aca="false">-PMT($J$101/12,amort*12,G102)</f>
        <v>19006.7485144819</v>
      </c>
    </row>
    <row r="103" customFormat="false" ht="15" hidden="false" customHeight="false" outlineLevel="0" collapsed="false">
      <c r="B103" s="13" t="s">
        <v>217</v>
      </c>
      <c r="C103" s="28" t="n">
        <f aca="false">-FV($H$101/12,12*C$3,-$I$102,$E$102)-FV($J$101/12,12*C$3,-$K$102,$G$102)</f>
        <v>6310260</v>
      </c>
      <c r="D103" s="28" t="n">
        <f aca="false">-FV($H$101/12,12*D$3,-$I$102,$E$102)-FV($J$101/12,12*D$3,-$K$102,$G$102)</f>
        <v>6212711.29800237</v>
      </c>
      <c r="E103" s="28" t="n">
        <f aca="false">-FV($H$101/12,12*E$3,-$I$102,$E$102)-FV($J$101/12,12*E$3,-$K$102,$G$102)</f>
        <v>6108193.05006583</v>
      </c>
      <c r="F103" s="28" t="n">
        <f aca="false">-FV($H$101/12,12*F$3,-$I$102,$E$102)-FV($J$101/12,12*F$3,-$K$102,$G$102)</f>
        <v>5996205.87455343</v>
      </c>
      <c r="G103" s="28" t="n">
        <f aca="false">-FV($H$101/12,12*G$3,-$I$102,$E$102)-FV($J$101/12,12*G$3,-$K$102,$G$102)</f>
        <v>5876214.50692187</v>
      </c>
      <c r="H103" s="28" t="n">
        <f aca="false">-FV($H$101/12,12*H$3,-$I$102,$E$102)-FV($J$101/12,12*H$3,-$K$102,$G$102)</f>
        <v>5747645.21421918</v>
      </c>
      <c r="I103" s="28" t="n">
        <f aca="false">-FV($H$101/12,12*I$3,-$I$102,$E$102)-FV($J$101/12,12*I$3,-$K$102,$G$102)</f>
        <v>5609883.02278364</v>
      </c>
      <c r="J103" s="28" t="n">
        <f aca="false">-FV($H$101/12,12*J$3,-$I$102,$E$102)-FV($J$101/12,12*J$3,-$K$102,$G$102)</f>
        <v>5462268.7456127</v>
      </c>
      <c r="K103" s="28" t="n">
        <f aca="false">-FV($H$101/12,12*K$3,-$I$102,$E$102)-FV($J$101/12,12*K$3,-$K$102,$G$102)</f>
        <v>5304095.79488807</v>
      </c>
      <c r="L103" s="28" t="n">
        <f aca="false">-FV($H$101/12,12*L$3,-$I$102,$E$102)-FV($J$101/12,12*L$3,-$K$102,$G$102)</f>
        <v>5134606.76408875</v>
      </c>
      <c r="M103" s="28" t="n">
        <f aca="false">-FV($H$101/12,12*M$3,-$I$102,$E$102)-FV($J$101/12,12*M$3,-$K$102,$G$102)</f>
        <v>4952989.76299315</v>
      </c>
    </row>
    <row r="104" customFormat="false" ht="15" hidden="false" customHeight="false" outlineLevel="0" collapsed="false">
      <c r="B104" s="13" t="s">
        <v>169</v>
      </c>
      <c r="C104" s="28" t="n">
        <v>0</v>
      </c>
      <c r="D104" s="28" t="n">
        <f aca="false">(($I$102+$K$102)*12)-(C103-D103)</f>
        <v>434876.646425396</v>
      </c>
      <c r="E104" s="28" t="n">
        <f aca="false">(($I$102+$K$102)*12)-(D103-E103)</f>
        <v>427907.100486494</v>
      </c>
      <c r="F104" s="28" t="n">
        <f aca="false">(($I$102+$K$102)*12)-(E103-F103)</f>
        <v>420438.172910625</v>
      </c>
      <c r="G104" s="28" t="n">
        <f aca="false">(($I$102+$K$102)*12)-(F103-G103)</f>
        <v>412433.98079147</v>
      </c>
      <c r="H104" s="28" t="n">
        <f aca="false">(($I$102+$K$102)*12)-(G103-H103)</f>
        <v>403856.055720346</v>
      </c>
      <c r="I104" s="28" t="n">
        <f aca="false">(($I$102+$K$102)*12)-(H103-I103)</f>
        <v>394663.156987491</v>
      </c>
      <c r="J104" s="28" t="n">
        <f aca="false">(($I$102+$K$102)*12)-(I103-J103)</f>
        <v>384811.071252092</v>
      </c>
      <c r="K104" s="28" t="n">
        <f aca="false">(($I$102+$K$102)*12)-(J103-K103)</f>
        <v>374252.397698396</v>
      </c>
      <c r="L104" s="28" t="n">
        <f aca="false">(($I$102+$K$102)*12)-(K103-L103)</f>
        <v>362936.317623714</v>
      </c>
      <c r="M104" s="28" t="n">
        <f aca="false">(($I$102+$K$102)*12)-(L103-M103)</f>
        <v>350808.347327429</v>
      </c>
    </row>
    <row r="105" customFormat="false" ht="15" hidden="false" customHeight="false" outlineLevel="0" collapsed="false">
      <c r="B105" s="13" t="s">
        <v>171</v>
      </c>
      <c r="C105" s="28" t="n">
        <v>0</v>
      </c>
      <c r="D105" s="28" t="n">
        <f aca="false">(($D$101*sf*(1+close)*bldg_share+base*sf)/bldg_life)+IF(D$3=1,fit*sf*bonus,0)+fit*sf*(1-bonus)/15</f>
        <v>2825164.1025641</v>
      </c>
      <c r="E105" s="28" t="n">
        <f aca="false">(($D$101*sf*(1+close)*bldg_share+base*sf)/bldg_life)+IF(E$3=1,fit*sf*bonus,0)+fit*sf*(1-bonus)/15</f>
        <v>89764.1025641026</v>
      </c>
      <c r="F105" s="28" t="n">
        <f aca="false">(($D$101*sf*(1+close)*bldg_share+base*sf)/bldg_life)+IF(F$3=1,fit*sf*bonus,0)+fit*sf*(1-bonus)/15</f>
        <v>89764.1025641026</v>
      </c>
      <c r="G105" s="28" t="n">
        <f aca="false">(($D$101*sf*(1+close)*bldg_share+base*sf)/bldg_life)+IF(G$3=1,fit*sf*bonus,0)+fit*sf*(1-bonus)/15</f>
        <v>89764.1025641026</v>
      </c>
      <c r="H105" s="28" t="n">
        <f aca="false">(($D$101*sf*(1+close)*bldg_share+base*sf)/bldg_life)+IF(H$3=1,fit*sf*bonus,0)+fit*sf*(1-bonus)/15</f>
        <v>89764.1025641026</v>
      </c>
      <c r="I105" s="28" t="n">
        <f aca="false">(($D$101*sf*(1+close)*bldg_share+base*sf)/bldg_life)+IF(I$3=1,fit*sf*bonus,0)+fit*sf*(1-bonus)/15</f>
        <v>89764.1025641026</v>
      </c>
      <c r="J105" s="28" t="n">
        <f aca="false">(($D$101*sf*(1+close)*bldg_share+base*sf)/bldg_life)+IF(J$3=1,fit*sf*bonus,0)+fit*sf*(1-bonus)/15</f>
        <v>89764.1025641026</v>
      </c>
      <c r="K105" s="28" t="n">
        <f aca="false">(($D$101*sf*(1+close)*bldg_share+base*sf)/bldg_life)+IF(K$3=1,fit*sf*bonus,0)+fit*sf*(1-bonus)/15</f>
        <v>89764.1025641026</v>
      </c>
      <c r="L105" s="28" t="n">
        <f aca="false">(($D$101*sf*(1+close)*bldg_share+base*sf)/bldg_life)+IF(L$3=1,fit*sf*bonus,0)+fit*sf*(1-bonus)/15</f>
        <v>89764.1025641026</v>
      </c>
      <c r="M105" s="28" t="n">
        <f aca="false">(($D$101*sf*(1+close)*bldg_share+base*sf)/bldg_life)+IF(M$3=1,fit*sf*bonus,0)+fit*sf*(1-bonus)/15</f>
        <v>89764.1025641026</v>
      </c>
    </row>
    <row r="106" customFormat="false" ht="15" hidden="false" customHeight="false" outlineLevel="0" collapsed="false">
      <c r="B106" s="13" t="s">
        <v>218</v>
      </c>
      <c r="C106" s="28" t="n">
        <f aca="false">-($C$102-$E$102-$G$102)-carry_m/12*($E$102*$H$101+$G$102*$J$101+Model!$D$8*sf)*(1-tax)</f>
        <v>-904955.548086667</v>
      </c>
      <c r="D106" s="28" t="n">
        <f aca="false">-((($I$102+$K$102)*12)+Model!D35)+tax*(D104+Model!D35+D105)</f>
        <v>-113297.120635235</v>
      </c>
      <c r="E106" s="28" t="n">
        <f aca="false">-((($I$102+$K$102)*12)+Model!E35)+tax*(E104+Model!E35+E105)</f>
        <v>-697159.135167405</v>
      </c>
      <c r="F106" s="28" t="n">
        <f aca="false">-((($I$102+$K$102)*12)+Model!F35)+tax*(F104+Model!F35+F105)</f>
        <v>-706930.952139887</v>
      </c>
      <c r="G106" s="28" t="n">
        <f aca="false">-((($I$102+$K$102)*12)+Model!G35)+tax*(G104+Model!G35+G105)</f>
        <v>-717061.274931906</v>
      </c>
      <c r="H106" s="28" t="n">
        <f aca="false">-((($I$102+$K$102)*12)+Model!H35)+tax*(H104+Model!H35+H105)</f>
        <v>-727565.564917249</v>
      </c>
      <c r="I106" s="28" t="n">
        <f aca="false">-((($I$102+$K$102)*12)+Model!I35)+tax*(I104+Model!I35+I105)</f>
        <v>-738460.087143167</v>
      </c>
      <c r="J106" s="28" t="n">
        <f aca="false">-((($I$102+$K$102)*12)+Model!J35)+tax*(J104+Model!J35+J105)</f>
        <v>-749761.95904438</v>
      </c>
      <c r="K106" s="28" t="n">
        <f aca="false">-((($I$102+$K$102)*12)+Model!K35)+tax*(K104+Model!K35+K105)</f>
        <v>-761489.202404339</v>
      </c>
      <c r="L106" s="28" t="n">
        <f aca="false">-((($I$102+$K$102)*12)+Model!L35)+tax*(L104+Model!L35+L105)</f>
        <v>-773660.798791115</v>
      </c>
      <c r="M106" s="28" t="n">
        <f aca="false">-((($I$102+$K$102)*12)+Model!M35)+tax*(M104+Model!M35+M105)+($F$101*sf*(1-sale_cost)-M103-tax*($F$101*sf*(1-sale_cost)-($C$102-SUM($C105:$M105))))</f>
        <v>-1302301.73946219</v>
      </c>
    </row>
    <row r="107" customFormat="false" ht="15" hidden="false" customHeight="false" outlineLevel="0" collapsed="false">
      <c r="B107" s="20" t="s">
        <v>219</v>
      </c>
      <c r="C107" s="28" t="n">
        <f aca="false">C106+NPV(disc,D106:M106)</f>
        <v>-5495460.44559592</v>
      </c>
      <c r="D107" s="29" t="n">
        <f aca="false">C107-Model!$D$68</f>
        <v>19806.4199987892</v>
      </c>
    </row>
    <row r="109" customFormat="false" ht="15" hidden="false" customHeight="false" outlineLevel="0" collapsed="false">
      <c r="B109" s="20" t="s">
        <v>232</v>
      </c>
      <c r="C109" s="13" t="s">
        <v>212</v>
      </c>
      <c r="D109" s="26" t="n">
        <f aca="false">Sensitivity!$B$8</f>
        <v>190</v>
      </c>
      <c r="E109" s="13" t="s">
        <v>213</v>
      </c>
      <c r="F109" s="26" t="n">
        <f aca="false">Sensitivity!F$5</f>
        <v>300</v>
      </c>
      <c r="G109" s="13" t="s">
        <v>214</v>
      </c>
      <c r="H109" s="27" t="n">
        <f aca="false">bank_rate</f>
        <v>0.0726</v>
      </c>
      <c r="I109" s="13" t="s">
        <v>215</v>
      </c>
      <c r="J109" s="27" t="n">
        <f aca="false">cdc_rate</f>
        <v>0.0654</v>
      </c>
    </row>
    <row r="110" customFormat="false" ht="15" hidden="false" customHeight="false" outlineLevel="0" collapsed="false">
      <c r="B110" s="13" t="s">
        <v>216</v>
      </c>
      <c r="C110" s="28" t="n">
        <f aca="false">$D$109*sf*(1+close)+base*sf+fit*sf</f>
        <v>7011400</v>
      </c>
      <c r="E110" s="28" t="n">
        <f aca="false">C110*bank_pct</f>
        <v>3505700</v>
      </c>
      <c r="G110" s="28" t="n">
        <f aca="false">C110*cdc_pct</f>
        <v>2804560</v>
      </c>
      <c r="I110" s="28" t="n">
        <f aca="false">-PMT($H$109/12,amort*12,E110)</f>
        <v>25362.0305207705</v>
      </c>
      <c r="K110" s="28" t="n">
        <f aca="false">-PMT($J$109/12,amort*12,G110)</f>
        <v>19006.7485144819</v>
      </c>
    </row>
    <row r="111" customFormat="false" ht="15" hidden="false" customHeight="false" outlineLevel="0" collapsed="false">
      <c r="B111" s="13" t="s">
        <v>217</v>
      </c>
      <c r="C111" s="28" t="n">
        <f aca="false">-FV($H$109/12,12*C$3,-$I$110,$E$110)-FV($J$109/12,12*C$3,-$K$110,$G$110)</f>
        <v>6310260</v>
      </c>
      <c r="D111" s="28" t="n">
        <f aca="false">-FV($H$109/12,12*D$3,-$I$110,$E$110)-FV($J$109/12,12*D$3,-$K$110,$G$110)</f>
        <v>6212711.29800237</v>
      </c>
      <c r="E111" s="28" t="n">
        <f aca="false">-FV($H$109/12,12*E$3,-$I$110,$E$110)-FV($J$109/12,12*E$3,-$K$110,$G$110)</f>
        <v>6108193.05006583</v>
      </c>
      <c r="F111" s="28" t="n">
        <f aca="false">-FV($H$109/12,12*F$3,-$I$110,$E$110)-FV($J$109/12,12*F$3,-$K$110,$G$110)</f>
        <v>5996205.87455343</v>
      </c>
      <c r="G111" s="28" t="n">
        <f aca="false">-FV($H$109/12,12*G$3,-$I$110,$E$110)-FV($J$109/12,12*G$3,-$K$110,$G$110)</f>
        <v>5876214.50692187</v>
      </c>
      <c r="H111" s="28" t="n">
        <f aca="false">-FV($H$109/12,12*H$3,-$I$110,$E$110)-FV($J$109/12,12*H$3,-$K$110,$G$110)</f>
        <v>5747645.21421918</v>
      </c>
      <c r="I111" s="28" t="n">
        <f aca="false">-FV($H$109/12,12*I$3,-$I$110,$E$110)-FV($J$109/12,12*I$3,-$K$110,$G$110)</f>
        <v>5609883.02278364</v>
      </c>
      <c r="J111" s="28" t="n">
        <f aca="false">-FV($H$109/12,12*J$3,-$I$110,$E$110)-FV($J$109/12,12*J$3,-$K$110,$G$110)</f>
        <v>5462268.7456127</v>
      </c>
      <c r="K111" s="28" t="n">
        <f aca="false">-FV($H$109/12,12*K$3,-$I$110,$E$110)-FV($J$109/12,12*K$3,-$K$110,$G$110)</f>
        <v>5304095.79488807</v>
      </c>
      <c r="L111" s="28" t="n">
        <f aca="false">-FV($H$109/12,12*L$3,-$I$110,$E$110)-FV($J$109/12,12*L$3,-$K$110,$G$110)</f>
        <v>5134606.76408875</v>
      </c>
      <c r="M111" s="28" t="n">
        <f aca="false">-FV($H$109/12,12*M$3,-$I$110,$E$110)-FV($J$109/12,12*M$3,-$K$110,$G$110)</f>
        <v>4952989.76299315</v>
      </c>
    </row>
    <row r="112" customFormat="false" ht="15" hidden="false" customHeight="false" outlineLevel="0" collapsed="false">
      <c r="B112" s="13" t="s">
        <v>169</v>
      </c>
      <c r="C112" s="28" t="n">
        <v>0</v>
      </c>
      <c r="D112" s="28" t="n">
        <f aca="false">(($I$110+$K$110)*12)-(C111-D111)</f>
        <v>434876.646425396</v>
      </c>
      <c r="E112" s="28" t="n">
        <f aca="false">(($I$110+$K$110)*12)-(D111-E111)</f>
        <v>427907.100486494</v>
      </c>
      <c r="F112" s="28" t="n">
        <f aca="false">(($I$110+$K$110)*12)-(E111-F111)</f>
        <v>420438.172910625</v>
      </c>
      <c r="G112" s="28" t="n">
        <f aca="false">(($I$110+$K$110)*12)-(F111-G111)</f>
        <v>412433.98079147</v>
      </c>
      <c r="H112" s="28" t="n">
        <f aca="false">(($I$110+$K$110)*12)-(G111-H111)</f>
        <v>403856.055720346</v>
      </c>
      <c r="I112" s="28" t="n">
        <f aca="false">(($I$110+$K$110)*12)-(H111-I111)</f>
        <v>394663.156987491</v>
      </c>
      <c r="J112" s="28" t="n">
        <f aca="false">(($I$110+$K$110)*12)-(I111-J111)</f>
        <v>384811.071252092</v>
      </c>
      <c r="K112" s="28" t="n">
        <f aca="false">(($I$110+$K$110)*12)-(J111-K111)</f>
        <v>374252.397698396</v>
      </c>
      <c r="L112" s="28" t="n">
        <f aca="false">(($I$110+$K$110)*12)-(K111-L111)</f>
        <v>362936.317623714</v>
      </c>
      <c r="M112" s="28" t="n">
        <f aca="false">(($I$110+$K$110)*12)-(L111-M111)</f>
        <v>350808.347327429</v>
      </c>
    </row>
    <row r="113" customFormat="false" ht="15" hidden="false" customHeight="false" outlineLevel="0" collapsed="false">
      <c r="B113" s="13" t="s">
        <v>171</v>
      </c>
      <c r="C113" s="28" t="n">
        <v>0</v>
      </c>
      <c r="D113" s="28" t="n">
        <f aca="false">(($D$109*sf*(1+close)*bldg_share+base*sf)/bldg_life)+IF(D$3=1,fit*sf*bonus,0)+fit*sf*(1-bonus)/15</f>
        <v>2825164.1025641</v>
      </c>
      <c r="E113" s="28" t="n">
        <f aca="false">(($D$109*sf*(1+close)*bldg_share+base*sf)/bldg_life)+IF(E$3=1,fit*sf*bonus,0)+fit*sf*(1-bonus)/15</f>
        <v>89764.1025641026</v>
      </c>
      <c r="F113" s="28" t="n">
        <f aca="false">(($D$109*sf*(1+close)*bldg_share+base*sf)/bldg_life)+IF(F$3=1,fit*sf*bonus,0)+fit*sf*(1-bonus)/15</f>
        <v>89764.1025641026</v>
      </c>
      <c r="G113" s="28" t="n">
        <f aca="false">(($D$109*sf*(1+close)*bldg_share+base*sf)/bldg_life)+IF(G$3=1,fit*sf*bonus,0)+fit*sf*(1-bonus)/15</f>
        <v>89764.1025641026</v>
      </c>
      <c r="H113" s="28" t="n">
        <f aca="false">(($D$109*sf*(1+close)*bldg_share+base*sf)/bldg_life)+IF(H$3=1,fit*sf*bonus,0)+fit*sf*(1-bonus)/15</f>
        <v>89764.1025641026</v>
      </c>
      <c r="I113" s="28" t="n">
        <f aca="false">(($D$109*sf*(1+close)*bldg_share+base*sf)/bldg_life)+IF(I$3=1,fit*sf*bonus,0)+fit*sf*(1-bonus)/15</f>
        <v>89764.1025641026</v>
      </c>
      <c r="J113" s="28" t="n">
        <f aca="false">(($D$109*sf*(1+close)*bldg_share+base*sf)/bldg_life)+IF(J$3=1,fit*sf*bonus,0)+fit*sf*(1-bonus)/15</f>
        <v>89764.1025641026</v>
      </c>
      <c r="K113" s="28" t="n">
        <f aca="false">(($D$109*sf*(1+close)*bldg_share+base*sf)/bldg_life)+IF(K$3=1,fit*sf*bonus,0)+fit*sf*(1-bonus)/15</f>
        <v>89764.1025641026</v>
      </c>
      <c r="L113" s="28" t="n">
        <f aca="false">(($D$109*sf*(1+close)*bldg_share+base*sf)/bldg_life)+IF(L$3=1,fit*sf*bonus,0)+fit*sf*(1-bonus)/15</f>
        <v>89764.1025641026</v>
      </c>
      <c r="M113" s="28" t="n">
        <f aca="false">(($D$109*sf*(1+close)*bldg_share+base*sf)/bldg_life)+IF(M$3=1,fit*sf*bonus,0)+fit*sf*(1-bonus)/15</f>
        <v>89764.1025641026</v>
      </c>
    </row>
    <row r="114" customFormat="false" ht="15" hidden="false" customHeight="false" outlineLevel="0" collapsed="false">
      <c r="B114" s="13" t="s">
        <v>218</v>
      </c>
      <c r="C114" s="28" t="n">
        <f aca="false">-($C$110-$E$110-$G$110)-carry_m/12*($E$110*$H$109+$G$110*$J$109+Model!$D$8*sf)*(1-tax)</f>
        <v>-904955.548086667</v>
      </c>
      <c r="D114" s="28" t="n">
        <f aca="false">-((($I$110+$K$110)*12)+Model!D35)+tax*(D112+Model!D35+D113)</f>
        <v>-113297.120635235</v>
      </c>
      <c r="E114" s="28" t="n">
        <f aca="false">-((($I$110+$K$110)*12)+Model!E35)+tax*(E112+Model!E35+E113)</f>
        <v>-697159.135167405</v>
      </c>
      <c r="F114" s="28" t="n">
        <f aca="false">-((($I$110+$K$110)*12)+Model!F35)+tax*(F112+Model!F35+F113)</f>
        <v>-706930.952139887</v>
      </c>
      <c r="G114" s="28" t="n">
        <f aca="false">-((($I$110+$K$110)*12)+Model!G35)+tax*(G112+Model!G35+G113)</f>
        <v>-717061.274931906</v>
      </c>
      <c r="H114" s="28" t="n">
        <f aca="false">-((($I$110+$K$110)*12)+Model!H35)+tax*(H112+Model!H35+H113)</f>
        <v>-727565.564917249</v>
      </c>
      <c r="I114" s="28" t="n">
        <f aca="false">-((($I$110+$K$110)*12)+Model!I35)+tax*(I112+Model!I35+I113)</f>
        <v>-738460.087143167</v>
      </c>
      <c r="J114" s="28" t="n">
        <f aca="false">-((($I$110+$K$110)*12)+Model!J35)+tax*(J112+Model!J35+J113)</f>
        <v>-749761.95904438</v>
      </c>
      <c r="K114" s="28" t="n">
        <f aca="false">-((($I$110+$K$110)*12)+Model!K35)+tax*(K112+Model!K35+K113)</f>
        <v>-761489.202404339</v>
      </c>
      <c r="L114" s="28" t="n">
        <f aca="false">-((($I$110+$K$110)*12)+Model!L35)+tax*(L112+Model!L35+L113)</f>
        <v>-773660.798791115</v>
      </c>
      <c r="M114" s="28" t="n">
        <f aca="false">-((($I$110+$K$110)*12)+Model!M35)+tax*(M112+Model!M35+M113)+($F$109*sf*(1-sale_cost)-M111-tax*($F$109*sf*(1-sale_cost)-($C$110-SUM($C113:$M113))))</f>
        <v>-432031.127089328</v>
      </c>
    </row>
    <row r="115" customFormat="false" ht="15" hidden="false" customHeight="false" outlineLevel="0" collapsed="false">
      <c r="B115" s="20" t="s">
        <v>219</v>
      </c>
      <c r="C115" s="28" t="n">
        <f aca="false">C114+NPV(disc,D114:M114)</f>
        <v>-5092356.76507334</v>
      </c>
      <c r="D115" s="29" t="n">
        <f aca="false">C115-Model!$D$68</f>
        <v>422910.100521369</v>
      </c>
    </row>
    <row r="117" customFormat="false" ht="15" hidden="false" customHeight="false" outlineLevel="0" collapsed="false">
      <c r="B117" s="20" t="s">
        <v>233</v>
      </c>
      <c r="C117" s="13" t="s">
        <v>212</v>
      </c>
      <c r="D117" s="26" t="n">
        <f aca="false">Sensitivity!$B$8</f>
        <v>190</v>
      </c>
      <c r="E117" s="13" t="s">
        <v>213</v>
      </c>
      <c r="F117" s="26" t="n">
        <f aca="false">Sensitivity!G$5</f>
        <v>389.779066708843</v>
      </c>
      <c r="G117" s="13" t="s">
        <v>214</v>
      </c>
      <c r="H117" s="27" t="n">
        <f aca="false">bank_rate</f>
        <v>0.0726</v>
      </c>
      <c r="I117" s="13" t="s">
        <v>215</v>
      </c>
      <c r="J117" s="27" t="n">
        <f aca="false">cdc_rate</f>
        <v>0.0654</v>
      </c>
    </row>
    <row r="118" customFormat="false" ht="15" hidden="false" customHeight="false" outlineLevel="0" collapsed="false">
      <c r="B118" s="13" t="s">
        <v>216</v>
      </c>
      <c r="C118" s="28" t="n">
        <f aca="false">$D$117*sf*(1+close)+base*sf+fit*sf</f>
        <v>7011400</v>
      </c>
      <c r="E118" s="28" t="n">
        <f aca="false">C118*bank_pct</f>
        <v>3505700</v>
      </c>
      <c r="G118" s="28" t="n">
        <f aca="false">C118*cdc_pct</f>
        <v>2804560</v>
      </c>
      <c r="I118" s="28" t="n">
        <f aca="false">-PMT($H$117/12,amort*12,E118)</f>
        <v>25362.0305207705</v>
      </c>
      <c r="K118" s="28" t="n">
        <f aca="false">-PMT($J$117/12,amort*12,G118)</f>
        <v>19006.7485144819</v>
      </c>
    </row>
    <row r="119" customFormat="false" ht="15" hidden="false" customHeight="false" outlineLevel="0" collapsed="false">
      <c r="B119" s="13" t="s">
        <v>217</v>
      </c>
      <c r="C119" s="28" t="n">
        <f aca="false">-FV($H$117/12,12*C$3,-$I$118,$E$118)-FV($J$117/12,12*C$3,-$K$118,$G$118)</f>
        <v>6310260</v>
      </c>
      <c r="D119" s="28" t="n">
        <f aca="false">-FV($H$117/12,12*D$3,-$I$118,$E$118)-FV($J$117/12,12*D$3,-$K$118,$G$118)</f>
        <v>6212711.29800237</v>
      </c>
      <c r="E119" s="28" t="n">
        <f aca="false">-FV($H$117/12,12*E$3,-$I$118,$E$118)-FV($J$117/12,12*E$3,-$K$118,$G$118)</f>
        <v>6108193.05006583</v>
      </c>
      <c r="F119" s="28" t="n">
        <f aca="false">-FV($H$117/12,12*F$3,-$I$118,$E$118)-FV($J$117/12,12*F$3,-$K$118,$G$118)</f>
        <v>5996205.87455343</v>
      </c>
      <c r="G119" s="28" t="n">
        <f aca="false">-FV($H$117/12,12*G$3,-$I$118,$E$118)-FV($J$117/12,12*G$3,-$K$118,$G$118)</f>
        <v>5876214.50692187</v>
      </c>
      <c r="H119" s="28" t="n">
        <f aca="false">-FV($H$117/12,12*H$3,-$I$118,$E$118)-FV($J$117/12,12*H$3,-$K$118,$G$118)</f>
        <v>5747645.21421918</v>
      </c>
      <c r="I119" s="28" t="n">
        <f aca="false">-FV($H$117/12,12*I$3,-$I$118,$E$118)-FV($J$117/12,12*I$3,-$K$118,$G$118)</f>
        <v>5609883.02278364</v>
      </c>
      <c r="J119" s="28" t="n">
        <f aca="false">-FV($H$117/12,12*J$3,-$I$118,$E$118)-FV($J$117/12,12*J$3,-$K$118,$G$118)</f>
        <v>5462268.7456127</v>
      </c>
      <c r="K119" s="28" t="n">
        <f aca="false">-FV($H$117/12,12*K$3,-$I$118,$E$118)-FV($J$117/12,12*K$3,-$K$118,$G$118)</f>
        <v>5304095.79488807</v>
      </c>
      <c r="L119" s="28" t="n">
        <f aca="false">-FV($H$117/12,12*L$3,-$I$118,$E$118)-FV($J$117/12,12*L$3,-$K$118,$G$118)</f>
        <v>5134606.76408875</v>
      </c>
      <c r="M119" s="28" t="n">
        <f aca="false">-FV($H$117/12,12*M$3,-$I$118,$E$118)-FV($J$117/12,12*M$3,-$K$118,$G$118)</f>
        <v>4952989.76299315</v>
      </c>
    </row>
    <row r="120" customFormat="false" ht="15" hidden="false" customHeight="false" outlineLevel="0" collapsed="false">
      <c r="B120" s="13" t="s">
        <v>169</v>
      </c>
      <c r="C120" s="28" t="n">
        <v>0</v>
      </c>
      <c r="D120" s="28" t="n">
        <f aca="false">(($I$118+$K$118)*12)-(C119-D119)</f>
        <v>434876.646425396</v>
      </c>
      <c r="E120" s="28" t="n">
        <f aca="false">(($I$118+$K$118)*12)-(D119-E119)</f>
        <v>427907.100486494</v>
      </c>
      <c r="F120" s="28" t="n">
        <f aca="false">(($I$118+$K$118)*12)-(E119-F119)</f>
        <v>420438.172910625</v>
      </c>
      <c r="G120" s="28" t="n">
        <f aca="false">(($I$118+$K$118)*12)-(F119-G119)</f>
        <v>412433.98079147</v>
      </c>
      <c r="H120" s="28" t="n">
        <f aca="false">(($I$118+$K$118)*12)-(G119-H119)</f>
        <v>403856.055720346</v>
      </c>
      <c r="I120" s="28" t="n">
        <f aca="false">(($I$118+$K$118)*12)-(H119-I119)</f>
        <v>394663.156987491</v>
      </c>
      <c r="J120" s="28" t="n">
        <f aca="false">(($I$118+$K$118)*12)-(I119-J119)</f>
        <v>384811.071252092</v>
      </c>
      <c r="K120" s="28" t="n">
        <f aca="false">(($I$118+$K$118)*12)-(J119-K119)</f>
        <v>374252.397698396</v>
      </c>
      <c r="L120" s="28" t="n">
        <f aca="false">(($I$118+$K$118)*12)-(K119-L119)</f>
        <v>362936.317623714</v>
      </c>
      <c r="M120" s="28" t="n">
        <f aca="false">(($I$118+$K$118)*12)-(L119-M119)</f>
        <v>350808.347327429</v>
      </c>
    </row>
    <row r="121" customFormat="false" ht="15" hidden="false" customHeight="false" outlineLevel="0" collapsed="false">
      <c r="B121" s="13" t="s">
        <v>171</v>
      </c>
      <c r="C121" s="28" t="n">
        <v>0</v>
      </c>
      <c r="D121" s="28" t="n">
        <f aca="false">(($D$117*sf*(1+close)*bldg_share+base*sf)/bldg_life)+IF(D$3=1,fit*sf*bonus,0)+fit*sf*(1-bonus)/15</f>
        <v>2825164.1025641</v>
      </c>
      <c r="E121" s="28" t="n">
        <f aca="false">(($D$117*sf*(1+close)*bldg_share+base*sf)/bldg_life)+IF(E$3=1,fit*sf*bonus,0)+fit*sf*(1-bonus)/15</f>
        <v>89764.1025641026</v>
      </c>
      <c r="F121" s="28" t="n">
        <f aca="false">(($D$117*sf*(1+close)*bldg_share+base*sf)/bldg_life)+IF(F$3=1,fit*sf*bonus,0)+fit*sf*(1-bonus)/15</f>
        <v>89764.1025641026</v>
      </c>
      <c r="G121" s="28" t="n">
        <f aca="false">(($D$117*sf*(1+close)*bldg_share+base*sf)/bldg_life)+IF(G$3=1,fit*sf*bonus,0)+fit*sf*(1-bonus)/15</f>
        <v>89764.1025641026</v>
      </c>
      <c r="H121" s="28" t="n">
        <f aca="false">(($D$117*sf*(1+close)*bldg_share+base*sf)/bldg_life)+IF(H$3=1,fit*sf*bonus,0)+fit*sf*(1-bonus)/15</f>
        <v>89764.1025641026</v>
      </c>
      <c r="I121" s="28" t="n">
        <f aca="false">(($D$117*sf*(1+close)*bldg_share+base*sf)/bldg_life)+IF(I$3=1,fit*sf*bonus,0)+fit*sf*(1-bonus)/15</f>
        <v>89764.1025641026</v>
      </c>
      <c r="J121" s="28" t="n">
        <f aca="false">(($D$117*sf*(1+close)*bldg_share+base*sf)/bldg_life)+IF(J$3=1,fit*sf*bonus,0)+fit*sf*(1-bonus)/15</f>
        <v>89764.1025641026</v>
      </c>
      <c r="K121" s="28" t="n">
        <f aca="false">(($D$117*sf*(1+close)*bldg_share+base*sf)/bldg_life)+IF(K$3=1,fit*sf*bonus,0)+fit*sf*(1-bonus)/15</f>
        <v>89764.1025641026</v>
      </c>
      <c r="L121" s="28" t="n">
        <f aca="false">(($D$117*sf*(1+close)*bldg_share+base*sf)/bldg_life)+IF(L$3=1,fit*sf*bonus,0)+fit*sf*(1-bonus)/15</f>
        <v>89764.1025641026</v>
      </c>
      <c r="M121" s="28" t="n">
        <f aca="false">(($D$117*sf*(1+close)*bldg_share+base*sf)/bldg_life)+IF(M$3=1,fit*sf*bonus,0)+fit*sf*(1-bonus)/15</f>
        <v>89764.1025641026</v>
      </c>
    </row>
    <row r="122" customFormat="false" ht="15" hidden="false" customHeight="false" outlineLevel="0" collapsed="false">
      <c r="B122" s="13" t="s">
        <v>218</v>
      </c>
      <c r="C122" s="28" t="n">
        <f aca="false">-($C$118-$E$118-$G$118)-carry_m/12*($E$118*$H$117+$G$118*$J$117+Model!$D$8*sf)*(1-tax)</f>
        <v>-904955.548086667</v>
      </c>
      <c r="D122" s="28" t="n">
        <f aca="false">-((($I$118+$K$118)*12)+Model!D35)+tax*(D120+Model!D35+D121)</f>
        <v>-113297.120635235</v>
      </c>
      <c r="E122" s="28" t="n">
        <f aca="false">-((($I$118+$K$118)*12)+Model!E35)+tax*(E120+Model!E35+E121)</f>
        <v>-697159.135167405</v>
      </c>
      <c r="F122" s="28" t="n">
        <f aca="false">-((($I$118+$K$118)*12)+Model!F35)+tax*(F120+Model!F35+F121)</f>
        <v>-706930.952139887</v>
      </c>
      <c r="G122" s="28" t="n">
        <f aca="false">-((($I$118+$K$118)*12)+Model!G35)+tax*(G120+Model!G35+G121)</f>
        <v>-717061.274931906</v>
      </c>
      <c r="H122" s="28" t="n">
        <f aca="false">-((($I$118+$K$118)*12)+Model!H35)+tax*(H120+Model!H35+H121)</f>
        <v>-727565.564917249</v>
      </c>
      <c r="I122" s="28" t="n">
        <f aca="false">-((($I$118+$K$118)*12)+Model!I35)+tax*(I120+Model!I35+I121)</f>
        <v>-738460.087143167</v>
      </c>
      <c r="J122" s="28" t="n">
        <f aca="false">-((($I$118+$K$118)*12)+Model!J35)+tax*(J120+Model!J35+J121)</f>
        <v>-749761.95904438</v>
      </c>
      <c r="K122" s="28" t="n">
        <f aca="false">-((($I$118+$K$118)*12)+Model!K35)+tax*(K120+Model!K35+K121)</f>
        <v>-761489.202404339</v>
      </c>
      <c r="L122" s="28" t="n">
        <f aca="false">-((($I$118+$K$118)*12)+Model!L35)+tax*(L120+Model!L35+L121)</f>
        <v>-773660.798791115</v>
      </c>
      <c r="M122" s="28" t="n">
        <f aca="false">-((($I$118+$K$118)*12)+Model!M35)+tax*(M120+Model!M35+M121)+($F$117*sf*(1-sale_cost)-M119-tax*($F$117*sf*(1-sale_cost)-($C$118-SUM($C121:$M121))))</f>
        <v>943922.849290402</v>
      </c>
    </row>
    <row r="123" customFormat="false" ht="15" hidden="false" customHeight="false" outlineLevel="0" collapsed="false">
      <c r="B123" s="20" t="s">
        <v>219</v>
      </c>
      <c r="C123" s="28" t="n">
        <f aca="false">C122+NPV(disc,D122:M122)</f>
        <v>-4455023.84331002</v>
      </c>
      <c r="D123" s="29" t="n">
        <f aca="false">C123-Model!$D$68</f>
        <v>1060243.02228469</v>
      </c>
    </row>
    <row r="125" customFormat="false" ht="15" hidden="false" customHeight="false" outlineLevel="0" collapsed="false">
      <c r="B125" s="20" t="s">
        <v>234</v>
      </c>
      <c r="C125" s="13" t="s">
        <v>212</v>
      </c>
      <c r="D125" s="26" t="n">
        <f aca="false">Sensitivity!$B$9</f>
        <v>210</v>
      </c>
      <c r="E125" s="13" t="s">
        <v>213</v>
      </c>
      <c r="F125" s="26" t="n">
        <f aca="false">Sensitivity!C$5</f>
        <v>160</v>
      </c>
      <c r="G125" s="13" t="s">
        <v>214</v>
      </c>
      <c r="H125" s="27" t="n">
        <f aca="false">bank_rate</f>
        <v>0.0726</v>
      </c>
      <c r="I125" s="13" t="s">
        <v>215</v>
      </c>
      <c r="J125" s="27" t="n">
        <f aca="false">cdc_rate</f>
        <v>0.0654</v>
      </c>
    </row>
    <row r="126" customFormat="false" ht="15" hidden="false" customHeight="false" outlineLevel="0" collapsed="false">
      <c r="B126" s="13" t="s">
        <v>216</v>
      </c>
      <c r="C126" s="28" t="n">
        <f aca="false">$D$125*sf*(1+close)+base*sf+fit*sf</f>
        <v>7419400</v>
      </c>
      <c r="E126" s="28" t="n">
        <f aca="false">C126*bank_pct</f>
        <v>3709700</v>
      </c>
      <c r="G126" s="28" t="n">
        <f aca="false">C126*cdc_pct</f>
        <v>2967760</v>
      </c>
      <c r="I126" s="28" t="n">
        <f aca="false">-PMT($H$125/12,amort*12,E126)</f>
        <v>26837.8710736522</v>
      </c>
      <c r="K126" s="28" t="n">
        <f aca="false">-PMT($J$125/12,amort*12,G126)</f>
        <v>20112.769194219</v>
      </c>
    </row>
    <row r="127" customFormat="false" ht="15" hidden="false" customHeight="false" outlineLevel="0" collapsed="false">
      <c r="B127" s="13" t="s">
        <v>217</v>
      </c>
      <c r="C127" s="28" t="n">
        <f aca="false">-FV($H$125/12,12*C$3,-$I$126,$E$126)-FV($J$125/12,12*C$3,-$K$126,$G$126)</f>
        <v>6677460</v>
      </c>
      <c r="D127" s="28" t="n">
        <f aca="false">-FV($H$125/12,12*D$3,-$I$126,$E$126)-FV($J$125/12,12*D$3,-$K$126,$G$126)</f>
        <v>6574234.84673514</v>
      </c>
      <c r="E127" s="28" t="n">
        <f aca="false">-FV($H$125/12,12*E$3,-$I$126,$E$126)-FV($J$125/12,12*E$3,-$K$126,$G$126)</f>
        <v>6463634.58305879</v>
      </c>
      <c r="F127" s="28" t="n">
        <f aca="false">-FV($H$125/12,12*F$3,-$I$126,$E$126)-FV($J$125/12,12*F$3,-$K$126,$G$126)</f>
        <v>6345130.76784404</v>
      </c>
      <c r="G127" s="28" t="n">
        <f aca="false">-FV($H$125/12,12*G$3,-$I$126,$E$126)-FV($J$125/12,12*G$3,-$K$126,$G$126)</f>
        <v>6218156.98899736</v>
      </c>
      <c r="H127" s="28" t="n">
        <f aca="false">-FV($H$125/12,12*H$3,-$I$126,$E$126)-FV($J$125/12,12*H$3,-$K$126,$G$126)</f>
        <v>6082106.12750346</v>
      </c>
      <c r="I127" s="28" t="n">
        <f aca="false">-FV($H$125/12,12*I$3,-$I$126,$E$126)-FV($J$125/12,12*I$3,-$K$126,$G$126)</f>
        <v>5936327.42380137</v>
      </c>
      <c r="J127" s="28" t="n">
        <f aca="false">-FV($H$125/12,12*J$3,-$I$126,$E$126)-FV($J$125/12,12*J$3,-$K$126,$G$126)</f>
        <v>5780123.33217316</v>
      </c>
      <c r="K127" s="28" t="n">
        <f aca="false">-FV($H$125/12,12*K$3,-$I$126,$E$126)-FV($J$125/12,12*K$3,-$K$126,$G$126)</f>
        <v>5612746.14778683</v>
      </c>
      <c r="L127" s="28" t="n">
        <f aca="false">-FV($H$125/12,12*L$3,-$I$126,$E$126)-FV($J$125/12,12*L$3,-$K$126,$G$126)</f>
        <v>5433394.38991929</v>
      </c>
      <c r="M127" s="28" t="n">
        <f aca="false">-FV($H$125/12,12*M$3,-$I$126,$E$126)-FV($J$125/12,12*M$3,-$K$126,$G$126)</f>
        <v>5241208.92368876</v>
      </c>
    </row>
    <row r="128" customFormat="false" ht="15" hidden="false" customHeight="false" outlineLevel="0" collapsed="false">
      <c r="B128" s="13" t="s">
        <v>169</v>
      </c>
      <c r="C128" s="28" t="n">
        <v>0</v>
      </c>
      <c r="D128" s="28" t="n">
        <f aca="false">(($I$126+$K$126)*12)-(C127-D127)</f>
        <v>460182.529949593</v>
      </c>
      <c r="E128" s="28" t="n">
        <f aca="false">(($I$126+$K$126)*12)-(D127-E127)</f>
        <v>452807.419538109</v>
      </c>
      <c r="F128" s="28" t="n">
        <f aca="false">(($I$126+$K$126)*12)-(E127-F127)</f>
        <v>444903.867999698</v>
      </c>
      <c r="G128" s="28" t="n">
        <f aca="false">(($I$126+$K$126)*12)-(F127-G127)</f>
        <v>436433.904367777</v>
      </c>
      <c r="H128" s="28" t="n">
        <f aca="false">(($I$126+$K$126)*12)-(G127-H127)</f>
        <v>427356.82172056</v>
      </c>
      <c r="I128" s="28" t="n">
        <f aca="false">(($I$126+$K$126)*12)-(H127-I127)</f>
        <v>417628.979512364</v>
      </c>
      <c r="J128" s="28" t="n">
        <f aca="false">(($I$126+$K$126)*12)-(I127-J127)</f>
        <v>407203.591586242</v>
      </c>
      <c r="K128" s="28" t="n">
        <f aca="false">(($I$126+$K$126)*12)-(J127-K127)</f>
        <v>396030.498828119</v>
      </c>
      <c r="L128" s="28" t="n">
        <f aca="false">(($I$126+$K$126)*12)-(K127-L127)</f>
        <v>384055.925346918</v>
      </c>
      <c r="M128" s="28" t="n">
        <f aca="false">(($I$126+$K$126)*12)-(L127-M127)</f>
        <v>371222.216983929</v>
      </c>
    </row>
    <row r="129" customFormat="false" ht="15" hidden="false" customHeight="false" outlineLevel="0" collapsed="false">
      <c r="B129" s="13" t="s">
        <v>171</v>
      </c>
      <c r="C129" s="28" t="n">
        <v>0</v>
      </c>
      <c r="D129" s="28" t="n">
        <f aca="false">(($D$125*sf*(1+close)*bldg_share+base*sf)/bldg_life)+IF(D$3=1,fit*sf*bonus,0)+fit*sf*(1-bonus)/15</f>
        <v>2833533.33333333</v>
      </c>
      <c r="E129" s="28" t="n">
        <f aca="false">(($D$125*sf*(1+close)*bldg_share+base*sf)/bldg_life)+IF(E$3=1,fit*sf*bonus,0)+fit*sf*(1-bonus)/15</f>
        <v>98133.3333333333</v>
      </c>
      <c r="F129" s="28" t="n">
        <f aca="false">(($D$125*sf*(1+close)*bldg_share+base*sf)/bldg_life)+IF(F$3=1,fit*sf*bonus,0)+fit*sf*(1-bonus)/15</f>
        <v>98133.3333333333</v>
      </c>
      <c r="G129" s="28" t="n">
        <f aca="false">(($D$125*sf*(1+close)*bldg_share+base*sf)/bldg_life)+IF(G$3=1,fit*sf*bonus,0)+fit*sf*(1-bonus)/15</f>
        <v>98133.3333333333</v>
      </c>
      <c r="H129" s="28" t="n">
        <f aca="false">(($D$125*sf*(1+close)*bldg_share+base*sf)/bldg_life)+IF(H$3=1,fit*sf*bonus,0)+fit*sf*(1-bonus)/15</f>
        <v>98133.3333333333</v>
      </c>
      <c r="I129" s="28" t="n">
        <f aca="false">(($D$125*sf*(1+close)*bldg_share+base*sf)/bldg_life)+IF(I$3=1,fit*sf*bonus,0)+fit*sf*(1-bonus)/15</f>
        <v>98133.3333333333</v>
      </c>
      <c r="J129" s="28" t="n">
        <f aca="false">(($D$125*sf*(1+close)*bldg_share+base*sf)/bldg_life)+IF(J$3=1,fit*sf*bonus,0)+fit*sf*(1-bonus)/15</f>
        <v>98133.3333333333</v>
      </c>
      <c r="K129" s="28" t="n">
        <f aca="false">(($D$125*sf*(1+close)*bldg_share+base*sf)/bldg_life)+IF(K$3=1,fit*sf*bonus,0)+fit*sf*(1-bonus)/15</f>
        <v>98133.3333333333</v>
      </c>
      <c r="L129" s="28" t="n">
        <f aca="false">(($D$125*sf*(1+close)*bldg_share+base*sf)/bldg_life)+IF(L$3=1,fit*sf*bonus,0)+fit*sf*(1-bonus)/15</f>
        <v>98133.3333333333</v>
      </c>
      <c r="M129" s="28" t="n">
        <f aca="false">(($D$125*sf*(1+close)*bldg_share+base*sf)/bldg_life)+IF(M$3=1,fit*sf*bonus,0)+fit*sf*(1-bonus)/15</f>
        <v>98133.3333333333</v>
      </c>
    </row>
    <row r="130" customFormat="false" ht="15" hidden="false" customHeight="false" outlineLevel="0" collapsed="false">
      <c r="B130" s="13" t="s">
        <v>218</v>
      </c>
      <c r="C130" s="28" t="n">
        <f aca="false">-($C$126-$E$126-$G$126)-carry_m/12*($E$126*$H$125+$G$126*$J$125+Model!$D$8*sf)*(1-tax)</f>
        <v>-952466.250486667</v>
      </c>
      <c r="D130" s="28" t="n">
        <f aca="false">-((($I$126+$K$126)*12)+Model!D35)+tax*(D128+Model!D35+D129)</f>
        <v>-137207.68142504</v>
      </c>
      <c r="E130" s="28" t="n">
        <f aca="false">-((($I$126+$K$126)*12)+Model!E35)+tax*(E128+Model!E35+E129)</f>
        <v>-721154.864496452</v>
      </c>
      <c r="F130" s="28" t="n">
        <f aca="false">-((($I$126+$K$126)*12)+Model!F35)+tax*(F128+Model!F35+F129)</f>
        <v>-731017.952501068</v>
      </c>
      <c r="G130" s="28" t="n">
        <f aca="false">-((($I$126+$K$126)*12)+Model!G35)+tax*(G128+Model!G35+G129)</f>
        <v>-741246.087310768</v>
      </c>
      <c r="H130" s="28" t="n">
        <f aca="false">-((($I$126+$K$126)*12)+Model!H35)+tax*(H128+Model!H35+H129)</f>
        <v>-751855.20038709</v>
      </c>
      <c r="I130" s="28" t="n">
        <f aca="false">-((($I$126+$K$126)*12)+Model!I35)+tax*(I128+Model!I35+I129)</f>
        <v>-762862.06074283</v>
      </c>
      <c r="J130" s="28" t="n">
        <f aca="false">-((($I$126+$K$126)*12)+Model!J35)+tax*(J128+Model!J35+J129)</f>
        <v>-774284.326104095</v>
      </c>
      <c r="K130" s="28" t="n">
        <f aca="false">-((($I$126+$K$126)*12)+Model!K35)+tax*(K128+Model!K35+K129)</f>
        <v>-786140.597496983</v>
      </c>
      <c r="L130" s="28" t="n">
        <f aca="false">-((($I$126+$K$126)*12)+Model!L35)+tax*(L128+Model!L35+L129)</f>
        <v>-798450.477499128</v>
      </c>
      <c r="M130" s="28" t="n">
        <f aca="false">-((($I$126+$K$126)*12)+Model!M35)+tax*(M128+Model!M35+M129)+($F$125*sf*(1-sale_cost)-M127-tax*($F$125*sf*(1-sale_cost)-($C$126-SUM($C129:$M129))))</f>
        <v>-2822723.55610235</v>
      </c>
    </row>
    <row r="131" customFormat="false" ht="15" hidden="false" customHeight="false" outlineLevel="0" collapsed="false">
      <c r="B131" s="20" t="s">
        <v>219</v>
      </c>
      <c r="C131" s="28" t="n">
        <f aca="false">C130+NPV(disc,D130:M130)</f>
        <v>-6398766.56648551</v>
      </c>
      <c r="D131" s="29" t="n">
        <f aca="false">C131-Model!$D$68</f>
        <v>-883499.700890807</v>
      </c>
    </row>
    <row r="133" customFormat="false" ht="15" hidden="false" customHeight="false" outlineLevel="0" collapsed="false">
      <c r="B133" s="20" t="s">
        <v>235</v>
      </c>
      <c r="C133" s="13" t="s">
        <v>212</v>
      </c>
      <c r="D133" s="26" t="n">
        <f aca="false">Sensitivity!$B$9</f>
        <v>210</v>
      </c>
      <c r="E133" s="13" t="s">
        <v>213</v>
      </c>
      <c r="F133" s="26" t="n">
        <f aca="false">Sensitivity!D$5</f>
        <v>190</v>
      </c>
      <c r="G133" s="13" t="s">
        <v>214</v>
      </c>
      <c r="H133" s="27" t="n">
        <f aca="false">bank_rate</f>
        <v>0.0726</v>
      </c>
      <c r="I133" s="13" t="s">
        <v>215</v>
      </c>
      <c r="J133" s="27" t="n">
        <f aca="false">cdc_rate</f>
        <v>0.0654</v>
      </c>
    </row>
    <row r="134" customFormat="false" ht="15" hidden="false" customHeight="false" outlineLevel="0" collapsed="false">
      <c r="B134" s="13" t="s">
        <v>216</v>
      </c>
      <c r="C134" s="28" t="n">
        <f aca="false">$D$133*sf*(1+close)+base*sf+fit*sf</f>
        <v>7419400</v>
      </c>
      <c r="E134" s="28" t="n">
        <f aca="false">C134*bank_pct</f>
        <v>3709700</v>
      </c>
      <c r="G134" s="28" t="n">
        <f aca="false">C134*cdc_pct</f>
        <v>2967760</v>
      </c>
      <c r="I134" s="28" t="n">
        <f aca="false">-PMT($H$133/12,amort*12,E134)</f>
        <v>26837.8710736522</v>
      </c>
      <c r="K134" s="28" t="n">
        <f aca="false">-PMT($J$133/12,amort*12,G134)</f>
        <v>20112.769194219</v>
      </c>
    </row>
    <row r="135" customFormat="false" ht="15" hidden="false" customHeight="false" outlineLevel="0" collapsed="false">
      <c r="B135" s="13" t="s">
        <v>217</v>
      </c>
      <c r="C135" s="28" t="n">
        <f aca="false">-FV($H$133/12,12*C$3,-$I$134,$E$134)-FV($J$133/12,12*C$3,-$K$134,$G$134)</f>
        <v>6677460</v>
      </c>
      <c r="D135" s="28" t="n">
        <f aca="false">-FV($H$133/12,12*D$3,-$I$134,$E$134)-FV($J$133/12,12*D$3,-$K$134,$G$134)</f>
        <v>6574234.84673514</v>
      </c>
      <c r="E135" s="28" t="n">
        <f aca="false">-FV($H$133/12,12*E$3,-$I$134,$E$134)-FV($J$133/12,12*E$3,-$K$134,$G$134)</f>
        <v>6463634.58305879</v>
      </c>
      <c r="F135" s="28" t="n">
        <f aca="false">-FV($H$133/12,12*F$3,-$I$134,$E$134)-FV($J$133/12,12*F$3,-$K$134,$G$134)</f>
        <v>6345130.76784404</v>
      </c>
      <c r="G135" s="28" t="n">
        <f aca="false">-FV($H$133/12,12*G$3,-$I$134,$E$134)-FV($J$133/12,12*G$3,-$K$134,$G$134)</f>
        <v>6218156.98899736</v>
      </c>
      <c r="H135" s="28" t="n">
        <f aca="false">-FV($H$133/12,12*H$3,-$I$134,$E$134)-FV($J$133/12,12*H$3,-$K$134,$G$134)</f>
        <v>6082106.12750346</v>
      </c>
      <c r="I135" s="28" t="n">
        <f aca="false">-FV($H$133/12,12*I$3,-$I$134,$E$134)-FV($J$133/12,12*I$3,-$K$134,$G$134)</f>
        <v>5936327.42380137</v>
      </c>
      <c r="J135" s="28" t="n">
        <f aca="false">-FV($H$133/12,12*J$3,-$I$134,$E$134)-FV($J$133/12,12*J$3,-$K$134,$G$134)</f>
        <v>5780123.33217316</v>
      </c>
      <c r="K135" s="28" t="n">
        <f aca="false">-FV($H$133/12,12*K$3,-$I$134,$E$134)-FV($J$133/12,12*K$3,-$K$134,$G$134)</f>
        <v>5612746.14778683</v>
      </c>
      <c r="L135" s="28" t="n">
        <f aca="false">-FV($H$133/12,12*L$3,-$I$134,$E$134)-FV($J$133/12,12*L$3,-$K$134,$G$134)</f>
        <v>5433394.38991929</v>
      </c>
      <c r="M135" s="28" t="n">
        <f aca="false">-FV($H$133/12,12*M$3,-$I$134,$E$134)-FV($J$133/12,12*M$3,-$K$134,$G$134)</f>
        <v>5241208.92368876</v>
      </c>
    </row>
    <row r="136" customFormat="false" ht="15" hidden="false" customHeight="false" outlineLevel="0" collapsed="false">
      <c r="B136" s="13" t="s">
        <v>169</v>
      </c>
      <c r="C136" s="28" t="n">
        <v>0</v>
      </c>
      <c r="D136" s="28" t="n">
        <f aca="false">(($I$134+$K$134)*12)-(C135-D135)</f>
        <v>460182.529949593</v>
      </c>
      <c r="E136" s="28" t="n">
        <f aca="false">(($I$134+$K$134)*12)-(D135-E135)</f>
        <v>452807.419538109</v>
      </c>
      <c r="F136" s="28" t="n">
        <f aca="false">(($I$134+$K$134)*12)-(E135-F135)</f>
        <v>444903.867999698</v>
      </c>
      <c r="G136" s="28" t="n">
        <f aca="false">(($I$134+$K$134)*12)-(F135-G135)</f>
        <v>436433.904367777</v>
      </c>
      <c r="H136" s="28" t="n">
        <f aca="false">(($I$134+$K$134)*12)-(G135-H135)</f>
        <v>427356.82172056</v>
      </c>
      <c r="I136" s="28" t="n">
        <f aca="false">(($I$134+$K$134)*12)-(H135-I135)</f>
        <v>417628.979512364</v>
      </c>
      <c r="J136" s="28" t="n">
        <f aca="false">(($I$134+$K$134)*12)-(I135-J135)</f>
        <v>407203.591586242</v>
      </c>
      <c r="K136" s="28" t="n">
        <f aca="false">(($I$134+$K$134)*12)-(J135-K135)</f>
        <v>396030.498828119</v>
      </c>
      <c r="L136" s="28" t="n">
        <f aca="false">(($I$134+$K$134)*12)-(K135-L135)</f>
        <v>384055.925346918</v>
      </c>
      <c r="M136" s="28" t="n">
        <f aca="false">(($I$134+$K$134)*12)-(L135-M135)</f>
        <v>371222.216983929</v>
      </c>
    </row>
    <row r="137" customFormat="false" ht="15" hidden="false" customHeight="false" outlineLevel="0" collapsed="false">
      <c r="B137" s="13" t="s">
        <v>171</v>
      </c>
      <c r="C137" s="28" t="n">
        <v>0</v>
      </c>
      <c r="D137" s="28" t="n">
        <f aca="false">(($D$133*sf*(1+close)*bldg_share+base*sf)/bldg_life)+IF(D$3=1,fit*sf*bonus,0)+fit*sf*(1-bonus)/15</f>
        <v>2833533.33333333</v>
      </c>
      <c r="E137" s="28" t="n">
        <f aca="false">(($D$133*sf*(1+close)*bldg_share+base*sf)/bldg_life)+IF(E$3=1,fit*sf*bonus,0)+fit*sf*(1-bonus)/15</f>
        <v>98133.3333333333</v>
      </c>
      <c r="F137" s="28" t="n">
        <f aca="false">(($D$133*sf*(1+close)*bldg_share+base*sf)/bldg_life)+IF(F$3=1,fit*sf*bonus,0)+fit*sf*(1-bonus)/15</f>
        <v>98133.3333333333</v>
      </c>
      <c r="G137" s="28" t="n">
        <f aca="false">(($D$133*sf*(1+close)*bldg_share+base*sf)/bldg_life)+IF(G$3=1,fit*sf*bonus,0)+fit*sf*(1-bonus)/15</f>
        <v>98133.3333333333</v>
      </c>
      <c r="H137" s="28" t="n">
        <f aca="false">(($D$133*sf*(1+close)*bldg_share+base*sf)/bldg_life)+IF(H$3=1,fit*sf*bonus,0)+fit*sf*(1-bonus)/15</f>
        <v>98133.3333333333</v>
      </c>
      <c r="I137" s="28" t="n">
        <f aca="false">(($D$133*sf*(1+close)*bldg_share+base*sf)/bldg_life)+IF(I$3=1,fit*sf*bonus,0)+fit*sf*(1-bonus)/15</f>
        <v>98133.3333333333</v>
      </c>
      <c r="J137" s="28" t="n">
        <f aca="false">(($D$133*sf*(1+close)*bldg_share+base*sf)/bldg_life)+IF(J$3=1,fit*sf*bonus,0)+fit*sf*(1-bonus)/15</f>
        <v>98133.3333333333</v>
      </c>
      <c r="K137" s="28" t="n">
        <f aca="false">(($D$133*sf*(1+close)*bldg_share+base*sf)/bldg_life)+IF(K$3=1,fit*sf*bonus,0)+fit*sf*(1-bonus)/15</f>
        <v>98133.3333333333</v>
      </c>
      <c r="L137" s="28" t="n">
        <f aca="false">(($D$133*sf*(1+close)*bldg_share+base*sf)/bldg_life)+IF(L$3=1,fit*sf*bonus,0)+fit*sf*(1-bonus)/15</f>
        <v>98133.3333333333</v>
      </c>
      <c r="M137" s="28" t="n">
        <f aca="false">(($D$133*sf*(1+close)*bldg_share+base*sf)/bldg_life)+IF(M$3=1,fit*sf*bonus,0)+fit*sf*(1-bonus)/15</f>
        <v>98133.3333333333</v>
      </c>
    </row>
    <row r="138" customFormat="false" ht="15" hidden="false" customHeight="false" outlineLevel="0" collapsed="false">
      <c r="B138" s="13" t="s">
        <v>218</v>
      </c>
      <c r="C138" s="28" t="n">
        <f aca="false">-($C$134-$E$134-$G$134)-carry_m/12*($E$134*$H$133+$G$134*$J$133+Model!$D$8*sf)*(1-tax)</f>
        <v>-952466.250486667</v>
      </c>
      <c r="D138" s="28" t="n">
        <f aca="false">-((($I$134+$K$134)*12)+Model!D35)+tax*(D136+Model!D35+D137)</f>
        <v>-137207.68142504</v>
      </c>
      <c r="E138" s="28" t="n">
        <f aca="false">-((($I$134+$K$134)*12)+Model!E35)+tax*(E136+Model!E35+E137)</f>
        <v>-721154.864496452</v>
      </c>
      <c r="F138" s="28" t="n">
        <f aca="false">-((($I$134+$K$134)*12)+Model!F35)+tax*(F136+Model!F35+F137)</f>
        <v>-731017.952501068</v>
      </c>
      <c r="G138" s="28" t="n">
        <f aca="false">-((($I$134+$K$134)*12)+Model!G35)+tax*(G136+Model!G35+G137)</f>
        <v>-741246.087310768</v>
      </c>
      <c r="H138" s="28" t="n">
        <f aca="false">-((($I$134+$K$134)*12)+Model!H35)+tax*(H136+Model!H35+H137)</f>
        <v>-751855.20038709</v>
      </c>
      <c r="I138" s="28" t="n">
        <f aca="false">-((($I$134+$K$134)*12)+Model!I35)+tax*(I136+Model!I35+I137)</f>
        <v>-762862.06074283</v>
      </c>
      <c r="J138" s="28" t="n">
        <f aca="false">-((($I$134+$K$134)*12)+Model!J35)+tax*(J136+Model!J35+J137)</f>
        <v>-774284.326104095</v>
      </c>
      <c r="K138" s="28" t="n">
        <f aca="false">-((($I$134+$K$134)*12)+Model!K35)+tax*(K136+Model!K35+K137)</f>
        <v>-786140.597496983</v>
      </c>
      <c r="L138" s="28" t="n">
        <f aca="false">-((($I$134+$K$134)*12)+Model!L35)+tax*(L136+Model!L35+L137)</f>
        <v>-798450.477499128</v>
      </c>
      <c r="M138" s="28" t="n">
        <f aca="false">-((($I$134+$K$134)*12)+Model!M35)+tax*(M136+Model!M35+M137)+($F$133*sf*(1-sale_cost)-M135-tax*($F$133*sf*(1-sale_cost)-($C$134-SUM($C137:$M137))))</f>
        <v>-2362943.55610235</v>
      </c>
    </row>
    <row r="139" customFormat="false" ht="15" hidden="false" customHeight="false" outlineLevel="0" collapsed="false">
      <c r="B139" s="20" t="s">
        <v>219</v>
      </c>
      <c r="C139" s="28" t="n">
        <f aca="false">C138+NPV(disc,D138:M138)</f>
        <v>-6185799.46453394</v>
      </c>
      <c r="D139" s="29" t="n">
        <f aca="false">C139-Model!$D$68</f>
        <v>-670532.598939231</v>
      </c>
    </row>
    <row r="141" customFormat="false" ht="15" hidden="false" customHeight="false" outlineLevel="0" collapsed="false">
      <c r="B141" s="20" t="s">
        <v>236</v>
      </c>
      <c r="C141" s="13" t="s">
        <v>212</v>
      </c>
      <c r="D141" s="26" t="n">
        <f aca="false">Sensitivity!$B$9</f>
        <v>210</v>
      </c>
      <c r="E141" s="13" t="s">
        <v>213</v>
      </c>
      <c r="F141" s="26" t="n">
        <f aca="false">Sensitivity!E$5</f>
        <v>243.216063397308</v>
      </c>
      <c r="G141" s="13" t="s">
        <v>214</v>
      </c>
      <c r="H141" s="27" t="n">
        <f aca="false">bank_rate</f>
        <v>0.0726</v>
      </c>
      <c r="I141" s="13" t="s">
        <v>215</v>
      </c>
      <c r="J141" s="27" t="n">
        <f aca="false">cdc_rate</f>
        <v>0.0654</v>
      </c>
    </row>
    <row r="142" customFormat="false" ht="15" hidden="false" customHeight="false" outlineLevel="0" collapsed="false">
      <c r="B142" s="13" t="s">
        <v>216</v>
      </c>
      <c r="C142" s="28" t="n">
        <f aca="false">$D$141*sf*(1+close)+base*sf+fit*sf</f>
        <v>7419400</v>
      </c>
      <c r="E142" s="28" t="n">
        <f aca="false">C142*bank_pct</f>
        <v>3709700</v>
      </c>
      <c r="G142" s="28" t="n">
        <f aca="false">C142*cdc_pct</f>
        <v>2967760</v>
      </c>
      <c r="I142" s="28" t="n">
        <f aca="false">-PMT($H$141/12,amort*12,E142)</f>
        <v>26837.8710736522</v>
      </c>
      <c r="K142" s="28" t="n">
        <f aca="false">-PMT($J$141/12,amort*12,G142)</f>
        <v>20112.769194219</v>
      </c>
    </row>
    <row r="143" customFormat="false" ht="15" hidden="false" customHeight="false" outlineLevel="0" collapsed="false">
      <c r="B143" s="13" t="s">
        <v>217</v>
      </c>
      <c r="C143" s="28" t="n">
        <f aca="false">-FV($H$141/12,12*C$3,-$I$142,$E$142)-FV($J$141/12,12*C$3,-$K$142,$G$142)</f>
        <v>6677460</v>
      </c>
      <c r="D143" s="28" t="n">
        <f aca="false">-FV($H$141/12,12*D$3,-$I$142,$E$142)-FV($J$141/12,12*D$3,-$K$142,$G$142)</f>
        <v>6574234.84673514</v>
      </c>
      <c r="E143" s="28" t="n">
        <f aca="false">-FV($H$141/12,12*E$3,-$I$142,$E$142)-FV($J$141/12,12*E$3,-$K$142,$G$142)</f>
        <v>6463634.58305879</v>
      </c>
      <c r="F143" s="28" t="n">
        <f aca="false">-FV($H$141/12,12*F$3,-$I$142,$E$142)-FV($J$141/12,12*F$3,-$K$142,$G$142)</f>
        <v>6345130.76784404</v>
      </c>
      <c r="G143" s="28" t="n">
        <f aca="false">-FV($H$141/12,12*G$3,-$I$142,$E$142)-FV($J$141/12,12*G$3,-$K$142,$G$142)</f>
        <v>6218156.98899736</v>
      </c>
      <c r="H143" s="28" t="n">
        <f aca="false">-FV($H$141/12,12*H$3,-$I$142,$E$142)-FV($J$141/12,12*H$3,-$K$142,$G$142)</f>
        <v>6082106.12750346</v>
      </c>
      <c r="I143" s="28" t="n">
        <f aca="false">-FV($H$141/12,12*I$3,-$I$142,$E$142)-FV($J$141/12,12*I$3,-$K$142,$G$142)</f>
        <v>5936327.42380137</v>
      </c>
      <c r="J143" s="28" t="n">
        <f aca="false">-FV($H$141/12,12*J$3,-$I$142,$E$142)-FV($J$141/12,12*J$3,-$K$142,$G$142)</f>
        <v>5780123.33217316</v>
      </c>
      <c r="K143" s="28" t="n">
        <f aca="false">-FV($H$141/12,12*K$3,-$I$142,$E$142)-FV($J$141/12,12*K$3,-$K$142,$G$142)</f>
        <v>5612746.14778683</v>
      </c>
      <c r="L143" s="28" t="n">
        <f aca="false">-FV($H$141/12,12*L$3,-$I$142,$E$142)-FV($J$141/12,12*L$3,-$K$142,$G$142)</f>
        <v>5433394.38991929</v>
      </c>
      <c r="M143" s="28" t="n">
        <f aca="false">-FV($H$141/12,12*M$3,-$I$142,$E$142)-FV($J$141/12,12*M$3,-$K$142,$G$142)</f>
        <v>5241208.92368876</v>
      </c>
    </row>
    <row r="144" customFormat="false" ht="15" hidden="false" customHeight="false" outlineLevel="0" collapsed="false">
      <c r="B144" s="13" t="s">
        <v>169</v>
      </c>
      <c r="C144" s="28" t="n">
        <v>0</v>
      </c>
      <c r="D144" s="28" t="n">
        <f aca="false">(($I$142+$K$142)*12)-(C143-D143)</f>
        <v>460182.529949593</v>
      </c>
      <c r="E144" s="28" t="n">
        <f aca="false">(($I$142+$K$142)*12)-(D143-E143)</f>
        <v>452807.419538109</v>
      </c>
      <c r="F144" s="28" t="n">
        <f aca="false">(($I$142+$K$142)*12)-(E143-F143)</f>
        <v>444903.867999698</v>
      </c>
      <c r="G144" s="28" t="n">
        <f aca="false">(($I$142+$K$142)*12)-(F143-G143)</f>
        <v>436433.904367777</v>
      </c>
      <c r="H144" s="28" t="n">
        <f aca="false">(($I$142+$K$142)*12)-(G143-H143)</f>
        <v>427356.82172056</v>
      </c>
      <c r="I144" s="28" t="n">
        <f aca="false">(($I$142+$K$142)*12)-(H143-I143)</f>
        <v>417628.979512364</v>
      </c>
      <c r="J144" s="28" t="n">
        <f aca="false">(($I$142+$K$142)*12)-(I143-J143)</f>
        <v>407203.591586242</v>
      </c>
      <c r="K144" s="28" t="n">
        <f aca="false">(($I$142+$K$142)*12)-(J143-K143)</f>
        <v>396030.498828119</v>
      </c>
      <c r="L144" s="28" t="n">
        <f aca="false">(($I$142+$K$142)*12)-(K143-L143)</f>
        <v>384055.925346918</v>
      </c>
      <c r="M144" s="28" t="n">
        <f aca="false">(($I$142+$K$142)*12)-(L143-M143)</f>
        <v>371222.216983929</v>
      </c>
    </row>
    <row r="145" customFormat="false" ht="15" hidden="false" customHeight="false" outlineLevel="0" collapsed="false">
      <c r="B145" s="13" t="s">
        <v>171</v>
      </c>
      <c r="C145" s="28" t="n">
        <v>0</v>
      </c>
      <c r="D145" s="28" t="n">
        <f aca="false">(($D$141*sf*(1+close)*bldg_share+base*sf)/bldg_life)+IF(D$3=1,fit*sf*bonus,0)+fit*sf*(1-bonus)/15</f>
        <v>2833533.33333333</v>
      </c>
      <c r="E145" s="28" t="n">
        <f aca="false">(($D$141*sf*(1+close)*bldg_share+base*sf)/bldg_life)+IF(E$3=1,fit*sf*bonus,0)+fit*sf*(1-bonus)/15</f>
        <v>98133.3333333333</v>
      </c>
      <c r="F145" s="28" t="n">
        <f aca="false">(($D$141*sf*(1+close)*bldg_share+base*sf)/bldg_life)+IF(F$3=1,fit*sf*bonus,0)+fit*sf*(1-bonus)/15</f>
        <v>98133.3333333333</v>
      </c>
      <c r="G145" s="28" t="n">
        <f aca="false">(($D$141*sf*(1+close)*bldg_share+base*sf)/bldg_life)+IF(G$3=1,fit*sf*bonus,0)+fit*sf*(1-bonus)/15</f>
        <v>98133.3333333333</v>
      </c>
      <c r="H145" s="28" t="n">
        <f aca="false">(($D$141*sf*(1+close)*bldg_share+base*sf)/bldg_life)+IF(H$3=1,fit*sf*bonus,0)+fit*sf*(1-bonus)/15</f>
        <v>98133.3333333333</v>
      </c>
      <c r="I145" s="28" t="n">
        <f aca="false">(($D$141*sf*(1+close)*bldg_share+base*sf)/bldg_life)+IF(I$3=1,fit*sf*bonus,0)+fit*sf*(1-bonus)/15</f>
        <v>98133.3333333333</v>
      </c>
      <c r="J145" s="28" t="n">
        <f aca="false">(($D$141*sf*(1+close)*bldg_share+base*sf)/bldg_life)+IF(J$3=1,fit*sf*bonus,0)+fit*sf*(1-bonus)/15</f>
        <v>98133.3333333333</v>
      </c>
      <c r="K145" s="28" t="n">
        <f aca="false">(($D$141*sf*(1+close)*bldg_share+base*sf)/bldg_life)+IF(K$3=1,fit*sf*bonus,0)+fit*sf*(1-bonus)/15</f>
        <v>98133.3333333333</v>
      </c>
      <c r="L145" s="28" t="n">
        <f aca="false">(($D$141*sf*(1+close)*bldg_share+base*sf)/bldg_life)+IF(L$3=1,fit*sf*bonus,0)+fit*sf*(1-bonus)/15</f>
        <v>98133.3333333333</v>
      </c>
      <c r="M145" s="28" t="n">
        <f aca="false">(($D$141*sf*(1+close)*bldg_share+base*sf)/bldg_life)+IF(M$3=1,fit*sf*bonus,0)+fit*sf*(1-bonus)/15</f>
        <v>98133.3333333333</v>
      </c>
    </row>
    <row r="146" customFormat="false" ht="15" hidden="false" customHeight="false" outlineLevel="0" collapsed="false">
      <c r="B146" s="13" t="s">
        <v>218</v>
      </c>
      <c r="C146" s="28" t="n">
        <f aca="false">-($C$142-$E$142-$G$142)-carry_m/12*($E$142*$H$141+$G$142*$J$141+Model!$D$8*sf)*(1-tax)</f>
        <v>-952466.250486667</v>
      </c>
      <c r="D146" s="28" t="n">
        <f aca="false">-((($I$142+$K$142)*12)+Model!D35)+tax*(D144+Model!D35+D145)</f>
        <v>-137207.68142504</v>
      </c>
      <c r="E146" s="28" t="n">
        <f aca="false">-((($I$142+$K$142)*12)+Model!E35)+tax*(E144+Model!E35+E145)</f>
        <v>-721154.864496452</v>
      </c>
      <c r="F146" s="28" t="n">
        <f aca="false">-((($I$142+$K$142)*12)+Model!F35)+tax*(F144+Model!F35+F145)</f>
        <v>-731017.952501068</v>
      </c>
      <c r="G146" s="28" t="n">
        <f aca="false">-((($I$142+$K$142)*12)+Model!G35)+tax*(G144+Model!G35+G145)</f>
        <v>-741246.087310768</v>
      </c>
      <c r="H146" s="28" t="n">
        <f aca="false">-((($I$142+$K$142)*12)+Model!H35)+tax*(H144+Model!H35+H145)</f>
        <v>-751855.20038709</v>
      </c>
      <c r="I146" s="28" t="n">
        <f aca="false">-((($I$142+$K$142)*12)+Model!I35)+tax*(I144+Model!I35+I145)</f>
        <v>-762862.06074283</v>
      </c>
      <c r="J146" s="28" t="n">
        <f aca="false">-((($I$142+$K$142)*12)+Model!J35)+tax*(J144+Model!J35+J145)</f>
        <v>-774284.326104095</v>
      </c>
      <c r="K146" s="28" t="n">
        <f aca="false">-((($I$142+$K$142)*12)+Model!K35)+tax*(K144+Model!K35+K145)</f>
        <v>-786140.597496983</v>
      </c>
      <c r="L146" s="28" t="n">
        <f aca="false">-((($I$142+$K$142)*12)+Model!L35)+tax*(L144+Model!L35+L145)</f>
        <v>-798450.477499128</v>
      </c>
      <c r="M146" s="28" t="n">
        <f aca="false">-((($I$142+$K$142)*12)+Model!M35)+tax*(M144+Model!M35+M145)+($F$141*sf*(1-sale_cost)-M143-tax*($F$141*sf*(1-sale_cost)-($C$142-SUM($C145:$M145))))</f>
        <v>-1547354.16847521</v>
      </c>
    </row>
    <row r="147" customFormat="false" ht="15" hidden="false" customHeight="false" outlineLevel="0" collapsed="false">
      <c r="B147" s="20" t="s">
        <v>219</v>
      </c>
      <c r="C147" s="28" t="n">
        <f aca="false">C146+NPV(disc,D146:M146)</f>
        <v>-5808023.77123407</v>
      </c>
      <c r="D147" s="29" t="n">
        <f aca="false">C147-Model!$D$68</f>
        <v>-292756.905639365</v>
      </c>
    </row>
    <row r="149" customFormat="false" ht="15" hidden="false" customHeight="false" outlineLevel="0" collapsed="false">
      <c r="B149" s="20" t="s">
        <v>237</v>
      </c>
      <c r="C149" s="13" t="s">
        <v>212</v>
      </c>
      <c r="D149" s="26" t="n">
        <f aca="false">Sensitivity!$B$9</f>
        <v>210</v>
      </c>
      <c r="E149" s="13" t="s">
        <v>213</v>
      </c>
      <c r="F149" s="26" t="n">
        <f aca="false">Sensitivity!F$5</f>
        <v>300</v>
      </c>
      <c r="G149" s="13" t="s">
        <v>214</v>
      </c>
      <c r="H149" s="27" t="n">
        <f aca="false">bank_rate</f>
        <v>0.0726</v>
      </c>
      <c r="I149" s="13" t="s">
        <v>215</v>
      </c>
      <c r="J149" s="27" t="n">
        <f aca="false">cdc_rate</f>
        <v>0.0654</v>
      </c>
    </row>
    <row r="150" customFormat="false" ht="15" hidden="false" customHeight="false" outlineLevel="0" collapsed="false">
      <c r="B150" s="13" t="s">
        <v>216</v>
      </c>
      <c r="C150" s="28" t="n">
        <f aca="false">$D$149*sf*(1+close)+base*sf+fit*sf</f>
        <v>7419400</v>
      </c>
      <c r="E150" s="28" t="n">
        <f aca="false">C150*bank_pct</f>
        <v>3709700</v>
      </c>
      <c r="G150" s="28" t="n">
        <f aca="false">C150*cdc_pct</f>
        <v>2967760</v>
      </c>
      <c r="I150" s="28" t="n">
        <f aca="false">-PMT($H$149/12,amort*12,E150)</f>
        <v>26837.8710736522</v>
      </c>
      <c r="K150" s="28" t="n">
        <f aca="false">-PMT($J$149/12,amort*12,G150)</f>
        <v>20112.769194219</v>
      </c>
    </row>
    <row r="151" customFormat="false" ht="15" hidden="false" customHeight="false" outlineLevel="0" collapsed="false">
      <c r="B151" s="13" t="s">
        <v>217</v>
      </c>
      <c r="C151" s="28" t="n">
        <f aca="false">-FV($H$149/12,12*C$3,-$I$150,$E$150)-FV($J$149/12,12*C$3,-$K$150,$G$150)</f>
        <v>6677460</v>
      </c>
      <c r="D151" s="28" t="n">
        <f aca="false">-FV($H$149/12,12*D$3,-$I$150,$E$150)-FV($J$149/12,12*D$3,-$K$150,$G$150)</f>
        <v>6574234.84673514</v>
      </c>
      <c r="E151" s="28" t="n">
        <f aca="false">-FV($H$149/12,12*E$3,-$I$150,$E$150)-FV($J$149/12,12*E$3,-$K$150,$G$150)</f>
        <v>6463634.58305879</v>
      </c>
      <c r="F151" s="28" t="n">
        <f aca="false">-FV($H$149/12,12*F$3,-$I$150,$E$150)-FV($J$149/12,12*F$3,-$K$150,$G$150)</f>
        <v>6345130.76784404</v>
      </c>
      <c r="G151" s="28" t="n">
        <f aca="false">-FV($H$149/12,12*G$3,-$I$150,$E$150)-FV($J$149/12,12*G$3,-$K$150,$G$150)</f>
        <v>6218156.98899736</v>
      </c>
      <c r="H151" s="28" t="n">
        <f aca="false">-FV($H$149/12,12*H$3,-$I$150,$E$150)-FV($J$149/12,12*H$3,-$K$150,$G$150)</f>
        <v>6082106.12750346</v>
      </c>
      <c r="I151" s="28" t="n">
        <f aca="false">-FV($H$149/12,12*I$3,-$I$150,$E$150)-FV($J$149/12,12*I$3,-$K$150,$G$150)</f>
        <v>5936327.42380137</v>
      </c>
      <c r="J151" s="28" t="n">
        <f aca="false">-FV($H$149/12,12*J$3,-$I$150,$E$150)-FV($J$149/12,12*J$3,-$K$150,$G$150)</f>
        <v>5780123.33217316</v>
      </c>
      <c r="K151" s="28" t="n">
        <f aca="false">-FV($H$149/12,12*K$3,-$I$150,$E$150)-FV($J$149/12,12*K$3,-$K$150,$G$150)</f>
        <v>5612746.14778683</v>
      </c>
      <c r="L151" s="28" t="n">
        <f aca="false">-FV($H$149/12,12*L$3,-$I$150,$E$150)-FV($J$149/12,12*L$3,-$K$150,$G$150)</f>
        <v>5433394.38991929</v>
      </c>
      <c r="M151" s="28" t="n">
        <f aca="false">-FV($H$149/12,12*M$3,-$I$150,$E$150)-FV($J$149/12,12*M$3,-$K$150,$G$150)</f>
        <v>5241208.92368876</v>
      </c>
    </row>
    <row r="152" customFormat="false" ht="15" hidden="false" customHeight="false" outlineLevel="0" collapsed="false">
      <c r="B152" s="13" t="s">
        <v>169</v>
      </c>
      <c r="C152" s="28" t="n">
        <v>0</v>
      </c>
      <c r="D152" s="28" t="n">
        <f aca="false">(($I$150+$K$150)*12)-(C151-D151)</f>
        <v>460182.529949593</v>
      </c>
      <c r="E152" s="28" t="n">
        <f aca="false">(($I$150+$K$150)*12)-(D151-E151)</f>
        <v>452807.419538109</v>
      </c>
      <c r="F152" s="28" t="n">
        <f aca="false">(($I$150+$K$150)*12)-(E151-F151)</f>
        <v>444903.867999698</v>
      </c>
      <c r="G152" s="28" t="n">
        <f aca="false">(($I$150+$K$150)*12)-(F151-G151)</f>
        <v>436433.904367777</v>
      </c>
      <c r="H152" s="28" t="n">
        <f aca="false">(($I$150+$K$150)*12)-(G151-H151)</f>
        <v>427356.82172056</v>
      </c>
      <c r="I152" s="28" t="n">
        <f aca="false">(($I$150+$K$150)*12)-(H151-I151)</f>
        <v>417628.979512364</v>
      </c>
      <c r="J152" s="28" t="n">
        <f aca="false">(($I$150+$K$150)*12)-(I151-J151)</f>
        <v>407203.591586242</v>
      </c>
      <c r="K152" s="28" t="n">
        <f aca="false">(($I$150+$K$150)*12)-(J151-K151)</f>
        <v>396030.498828119</v>
      </c>
      <c r="L152" s="28" t="n">
        <f aca="false">(($I$150+$K$150)*12)-(K151-L151)</f>
        <v>384055.925346918</v>
      </c>
      <c r="M152" s="28" t="n">
        <f aca="false">(($I$150+$K$150)*12)-(L151-M151)</f>
        <v>371222.216983929</v>
      </c>
    </row>
    <row r="153" customFormat="false" ht="15" hidden="false" customHeight="false" outlineLevel="0" collapsed="false">
      <c r="B153" s="13" t="s">
        <v>171</v>
      </c>
      <c r="C153" s="28" t="n">
        <v>0</v>
      </c>
      <c r="D153" s="28" t="n">
        <f aca="false">(($D$149*sf*(1+close)*bldg_share+base*sf)/bldg_life)+IF(D$3=1,fit*sf*bonus,0)+fit*sf*(1-bonus)/15</f>
        <v>2833533.33333333</v>
      </c>
      <c r="E153" s="28" t="n">
        <f aca="false">(($D$149*sf*(1+close)*bldg_share+base*sf)/bldg_life)+IF(E$3=1,fit*sf*bonus,0)+fit*sf*(1-bonus)/15</f>
        <v>98133.3333333333</v>
      </c>
      <c r="F153" s="28" t="n">
        <f aca="false">(($D$149*sf*(1+close)*bldg_share+base*sf)/bldg_life)+IF(F$3=1,fit*sf*bonus,0)+fit*sf*(1-bonus)/15</f>
        <v>98133.3333333333</v>
      </c>
      <c r="G153" s="28" t="n">
        <f aca="false">(($D$149*sf*(1+close)*bldg_share+base*sf)/bldg_life)+IF(G$3=1,fit*sf*bonus,0)+fit*sf*(1-bonus)/15</f>
        <v>98133.3333333333</v>
      </c>
      <c r="H153" s="28" t="n">
        <f aca="false">(($D$149*sf*(1+close)*bldg_share+base*sf)/bldg_life)+IF(H$3=1,fit*sf*bonus,0)+fit*sf*(1-bonus)/15</f>
        <v>98133.3333333333</v>
      </c>
      <c r="I153" s="28" t="n">
        <f aca="false">(($D$149*sf*(1+close)*bldg_share+base*sf)/bldg_life)+IF(I$3=1,fit*sf*bonus,0)+fit*sf*(1-bonus)/15</f>
        <v>98133.3333333333</v>
      </c>
      <c r="J153" s="28" t="n">
        <f aca="false">(($D$149*sf*(1+close)*bldg_share+base*sf)/bldg_life)+IF(J$3=1,fit*sf*bonus,0)+fit*sf*(1-bonus)/15</f>
        <v>98133.3333333333</v>
      </c>
      <c r="K153" s="28" t="n">
        <f aca="false">(($D$149*sf*(1+close)*bldg_share+base*sf)/bldg_life)+IF(K$3=1,fit*sf*bonus,0)+fit*sf*(1-bonus)/15</f>
        <v>98133.3333333333</v>
      </c>
      <c r="L153" s="28" t="n">
        <f aca="false">(($D$149*sf*(1+close)*bldg_share+base*sf)/bldg_life)+IF(L$3=1,fit*sf*bonus,0)+fit*sf*(1-bonus)/15</f>
        <v>98133.3333333333</v>
      </c>
      <c r="M153" s="28" t="n">
        <f aca="false">(($D$149*sf*(1+close)*bldg_share+base*sf)/bldg_life)+IF(M$3=1,fit*sf*bonus,0)+fit*sf*(1-bonus)/15</f>
        <v>98133.3333333333</v>
      </c>
    </row>
    <row r="154" customFormat="false" ht="15" hidden="false" customHeight="false" outlineLevel="0" collapsed="false">
      <c r="B154" s="13" t="s">
        <v>218</v>
      </c>
      <c r="C154" s="28" t="n">
        <f aca="false">-($C$150-$E$150-$G$150)-carry_m/12*($E$150*$H$149+$G$150*$J$149+Model!$D$8*sf)*(1-tax)</f>
        <v>-952466.250486667</v>
      </c>
      <c r="D154" s="28" t="n">
        <f aca="false">-((($I$150+$K$150)*12)+Model!D35)+tax*(D152+Model!D35+D153)</f>
        <v>-137207.68142504</v>
      </c>
      <c r="E154" s="28" t="n">
        <f aca="false">-((($I$150+$K$150)*12)+Model!E35)+tax*(E152+Model!E35+E153)</f>
        <v>-721154.864496452</v>
      </c>
      <c r="F154" s="28" t="n">
        <f aca="false">-((($I$150+$K$150)*12)+Model!F35)+tax*(F152+Model!F35+F153)</f>
        <v>-731017.952501068</v>
      </c>
      <c r="G154" s="28" t="n">
        <f aca="false">-((($I$150+$K$150)*12)+Model!G35)+tax*(G152+Model!G35+G153)</f>
        <v>-741246.087310768</v>
      </c>
      <c r="H154" s="28" t="n">
        <f aca="false">-((($I$150+$K$150)*12)+Model!H35)+tax*(H152+Model!H35+H153)</f>
        <v>-751855.20038709</v>
      </c>
      <c r="I154" s="28" t="n">
        <f aca="false">-((($I$150+$K$150)*12)+Model!I35)+tax*(I152+Model!I35+I153)</f>
        <v>-762862.06074283</v>
      </c>
      <c r="J154" s="28" t="n">
        <f aca="false">-((($I$150+$K$150)*12)+Model!J35)+tax*(J152+Model!J35+J153)</f>
        <v>-774284.326104095</v>
      </c>
      <c r="K154" s="28" t="n">
        <f aca="false">-((($I$150+$K$150)*12)+Model!K35)+tax*(K152+Model!K35+K153)</f>
        <v>-786140.597496983</v>
      </c>
      <c r="L154" s="28" t="n">
        <f aca="false">-((($I$150+$K$150)*12)+Model!L35)+tax*(L152+Model!L35+L153)</f>
        <v>-798450.477499128</v>
      </c>
      <c r="M154" s="28" t="n">
        <f aca="false">-((($I$150+$K$150)*12)+Model!M35)+tax*(M152+Model!M35+M153)+($F$149*sf*(1-sale_cost)-M151-tax*($F$149*sf*(1-sale_cost)-($C$150-SUM($C153:$M153))))</f>
        <v>-677083.556102345</v>
      </c>
    </row>
    <row r="155" customFormat="false" ht="15" hidden="false" customHeight="false" outlineLevel="0" collapsed="false">
      <c r="B155" s="20" t="s">
        <v>219</v>
      </c>
      <c r="C155" s="28" t="n">
        <f aca="false">C154+NPV(disc,D154:M154)</f>
        <v>-5404920.09071149</v>
      </c>
      <c r="D155" s="29" t="n">
        <f aca="false">C155-Model!$D$68</f>
        <v>110346.774883215</v>
      </c>
    </row>
    <row r="157" customFormat="false" ht="15" hidden="false" customHeight="false" outlineLevel="0" collapsed="false">
      <c r="B157" s="20" t="s">
        <v>238</v>
      </c>
      <c r="C157" s="13" t="s">
        <v>212</v>
      </c>
      <c r="D157" s="26" t="n">
        <f aca="false">Sensitivity!$B$9</f>
        <v>210</v>
      </c>
      <c r="E157" s="13" t="s">
        <v>213</v>
      </c>
      <c r="F157" s="26" t="n">
        <f aca="false">Sensitivity!G$5</f>
        <v>389.779066708843</v>
      </c>
      <c r="G157" s="13" t="s">
        <v>214</v>
      </c>
      <c r="H157" s="27" t="n">
        <f aca="false">bank_rate</f>
        <v>0.0726</v>
      </c>
      <c r="I157" s="13" t="s">
        <v>215</v>
      </c>
      <c r="J157" s="27" t="n">
        <f aca="false">cdc_rate</f>
        <v>0.0654</v>
      </c>
    </row>
    <row r="158" customFormat="false" ht="15" hidden="false" customHeight="false" outlineLevel="0" collapsed="false">
      <c r="B158" s="13" t="s">
        <v>216</v>
      </c>
      <c r="C158" s="28" t="n">
        <f aca="false">$D$157*sf*(1+close)+base*sf+fit*sf</f>
        <v>7419400</v>
      </c>
      <c r="E158" s="28" t="n">
        <f aca="false">C158*bank_pct</f>
        <v>3709700</v>
      </c>
      <c r="G158" s="28" t="n">
        <f aca="false">C158*cdc_pct</f>
        <v>2967760</v>
      </c>
      <c r="I158" s="28" t="n">
        <f aca="false">-PMT($H$157/12,amort*12,E158)</f>
        <v>26837.8710736522</v>
      </c>
      <c r="K158" s="28" t="n">
        <f aca="false">-PMT($J$157/12,amort*12,G158)</f>
        <v>20112.769194219</v>
      </c>
    </row>
    <row r="159" customFormat="false" ht="15" hidden="false" customHeight="false" outlineLevel="0" collapsed="false">
      <c r="B159" s="13" t="s">
        <v>217</v>
      </c>
      <c r="C159" s="28" t="n">
        <f aca="false">-FV($H$157/12,12*C$3,-$I$158,$E$158)-FV($J$157/12,12*C$3,-$K$158,$G$158)</f>
        <v>6677460</v>
      </c>
      <c r="D159" s="28" t="n">
        <f aca="false">-FV($H$157/12,12*D$3,-$I$158,$E$158)-FV($J$157/12,12*D$3,-$K$158,$G$158)</f>
        <v>6574234.84673514</v>
      </c>
      <c r="E159" s="28" t="n">
        <f aca="false">-FV($H$157/12,12*E$3,-$I$158,$E$158)-FV($J$157/12,12*E$3,-$K$158,$G$158)</f>
        <v>6463634.58305879</v>
      </c>
      <c r="F159" s="28" t="n">
        <f aca="false">-FV($H$157/12,12*F$3,-$I$158,$E$158)-FV($J$157/12,12*F$3,-$K$158,$G$158)</f>
        <v>6345130.76784404</v>
      </c>
      <c r="G159" s="28" t="n">
        <f aca="false">-FV($H$157/12,12*G$3,-$I$158,$E$158)-FV($J$157/12,12*G$3,-$K$158,$G$158)</f>
        <v>6218156.98899736</v>
      </c>
      <c r="H159" s="28" t="n">
        <f aca="false">-FV($H$157/12,12*H$3,-$I$158,$E$158)-FV($J$157/12,12*H$3,-$K$158,$G$158)</f>
        <v>6082106.12750346</v>
      </c>
      <c r="I159" s="28" t="n">
        <f aca="false">-FV($H$157/12,12*I$3,-$I$158,$E$158)-FV($J$157/12,12*I$3,-$K$158,$G$158)</f>
        <v>5936327.42380137</v>
      </c>
      <c r="J159" s="28" t="n">
        <f aca="false">-FV($H$157/12,12*J$3,-$I$158,$E$158)-FV($J$157/12,12*J$3,-$K$158,$G$158)</f>
        <v>5780123.33217316</v>
      </c>
      <c r="K159" s="28" t="n">
        <f aca="false">-FV($H$157/12,12*K$3,-$I$158,$E$158)-FV($J$157/12,12*K$3,-$K$158,$G$158)</f>
        <v>5612746.14778683</v>
      </c>
      <c r="L159" s="28" t="n">
        <f aca="false">-FV($H$157/12,12*L$3,-$I$158,$E$158)-FV($J$157/12,12*L$3,-$K$158,$G$158)</f>
        <v>5433394.38991929</v>
      </c>
      <c r="M159" s="28" t="n">
        <f aca="false">-FV($H$157/12,12*M$3,-$I$158,$E$158)-FV($J$157/12,12*M$3,-$K$158,$G$158)</f>
        <v>5241208.92368876</v>
      </c>
    </row>
    <row r="160" customFormat="false" ht="15" hidden="false" customHeight="false" outlineLevel="0" collapsed="false">
      <c r="B160" s="13" t="s">
        <v>169</v>
      </c>
      <c r="C160" s="28" t="n">
        <v>0</v>
      </c>
      <c r="D160" s="28" t="n">
        <f aca="false">(($I$158+$K$158)*12)-(C159-D159)</f>
        <v>460182.529949593</v>
      </c>
      <c r="E160" s="28" t="n">
        <f aca="false">(($I$158+$K$158)*12)-(D159-E159)</f>
        <v>452807.419538109</v>
      </c>
      <c r="F160" s="28" t="n">
        <f aca="false">(($I$158+$K$158)*12)-(E159-F159)</f>
        <v>444903.867999698</v>
      </c>
      <c r="G160" s="28" t="n">
        <f aca="false">(($I$158+$K$158)*12)-(F159-G159)</f>
        <v>436433.904367777</v>
      </c>
      <c r="H160" s="28" t="n">
        <f aca="false">(($I$158+$K$158)*12)-(G159-H159)</f>
        <v>427356.82172056</v>
      </c>
      <c r="I160" s="28" t="n">
        <f aca="false">(($I$158+$K$158)*12)-(H159-I159)</f>
        <v>417628.979512364</v>
      </c>
      <c r="J160" s="28" t="n">
        <f aca="false">(($I$158+$K$158)*12)-(I159-J159)</f>
        <v>407203.591586242</v>
      </c>
      <c r="K160" s="28" t="n">
        <f aca="false">(($I$158+$K$158)*12)-(J159-K159)</f>
        <v>396030.498828119</v>
      </c>
      <c r="L160" s="28" t="n">
        <f aca="false">(($I$158+$K$158)*12)-(K159-L159)</f>
        <v>384055.925346918</v>
      </c>
      <c r="M160" s="28" t="n">
        <f aca="false">(($I$158+$K$158)*12)-(L159-M159)</f>
        <v>371222.216983929</v>
      </c>
    </row>
    <row r="161" customFormat="false" ht="15" hidden="false" customHeight="false" outlineLevel="0" collapsed="false">
      <c r="B161" s="13" t="s">
        <v>171</v>
      </c>
      <c r="C161" s="28" t="n">
        <v>0</v>
      </c>
      <c r="D161" s="28" t="n">
        <f aca="false">(($D$157*sf*(1+close)*bldg_share+base*sf)/bldg_life)+IF(D$3=1,fit*sf*bonus,0)+fit*sf*(1-bonus)/15</f>
        <v>2833533.33333333</v>
      </c>
      <c r="E161" s="28" t="n">
        <f aca="false">(($D$157*sf*(1+close)*bldg_share+base*sf)/bldg_life)+IF(E$3=1,fit*sf*bonus,0)+fit*sf*(1-bonus)/15</f>
        <v>98133.3333333333</v>
      </c>
      <c r="F161" s="28" t="n">
        <f aca="false">(($D$157*sf*(1+close)*bldg_share+base*sf)/bldg_life)+IF(F$3=1,fit*sf*bonus,0)+fit*sf*(1-bonus)/15</f>
        <v>98133.3333333333</v>
      </c>
      <c r="G161" s="28" t="n">
        <f aca="false">(($D$157*sf*(1+close)*bldg_share+base*sf)/bldg_life)+IF(G$3=1,fit*sf*bonus,0)+fit*sf*(1-bonus)/15</f>
        <v>98133.3333333333</v>
      </c>
      <c r="H161" s="28" t="n">
        <f aca="false">(($D$157*sf*(1+close)*bldg_share+base*sf)/bldg_life)+IF(H$3=1,fit*sf*bonus,0)+fit*sf*(1-bonus)/15</f>
        <v>98133.3333333333</v>
      </c>
      <c r="I161" s="28" t="n">
        <f aca="false">(($D$157*sf*(1+close)*bldg_share+base*sf)/bldg_life)+IF(I$3=1,fit*sf*bonus,0)+fit*sf*(1-bonus)/15</f>
        <v>98133.3333333333</v>
      </c>
      <c r="J161" s="28" t="n">
        <f aca="false">(($D$157*sf*(1+close)*bldg_share+base*sf)/bldg_life)+IF(J$3=1,fit*sf*bonus,0)+fit*sf*(1-bonus)/15</f>
        <v>98133.3333333333</v>
      </c>
      <c r="K161" s="28" t="n">
        <f aca="false">(($D$157*sf*(1+close)*bldg_share+base*sf)/bldg_life)+IF(K$3=1,fit*sf*bonus,0)+fit*sf*(1-bonus)/15</f>
        <v>98133.3333333333</v>
      </c>
      <c r="L161" s="28" t="n">
        <f aca="false">(($D$157*sf*(1+close)*bldg_share+base*sf)/bldg_life)+IF(L$3=1,fit*sf*bonus,0)+fit*sf*(1-bonus)/15</f>
        <v>98133.3333333333</v>
      </c>
      <c r="M161" s="28" t="n">
        <f aca="false">(($D$157*sf*(1+close)*bldg_share+base*sf)/bldg_life)+IF(M$3=1,fit*sf*bonus,0)+fit*sf*(1-bonus)/15</f>
        <v>98133.3333333333</v>
      </c>
    </row>
    <row r="162" customFormat="false" ht="15" hidden="false" customHeight="false" outlineLevel="0" collapsed="false">
      <c r="B162" s="13" t="s">
        <v>218</v>
      </c>
      <c r="C162" s="28" t="n">
        <f aca="false">-($C$158-$E$158-$G$158)-carry_m/12*($E$158*$H$157+$G$158*$J$157+Model!$D$8*sf)*(1-tax)</f>
        <v>-952466.250486667</v>
      </c>
      <c r="D162" s="28" t="n">
        <f aca="false">-((($I$158+$K$158)*12)+Model!D35)+tax*(D160+Model!D35+D161)</f>
        <v>-137207.68142504</v>
      </c>
      <c r="E162" s="28" t="n">
        <f aca="false">-((($I$158+$K$158)*12)+Model!E35)+tax*(E160+Model!E35+E161)</f>
        <v>-721154.864496452</v>
      </c>
      <c r="F162" s="28" t="n">
        <f aca="false">-((($I$158+$K$158)*12)+Model!F35)+tax*(F160+Model!F35+F161)</f>
        <v>-731017.952501068</v>
      </c>
      <c r="G162" s="28" t="n">
        <f aca="false">-((($I$158+$K$158)*12)+Model!G35)+tax*(G160+Model!G35+G161)</f>
        <v>-741246.087310768</v>
      </c>
      <c r="H162" s="28" t="n">
        <f aca="false">-((($I$158+$K$158)*12)+Model!H35)+tax*(H160+Model!H35+H161)</f>
        <v>-751855.20038709</v>
      </c>
      <c r="I162" s="28" t="n">
        <f aca="false">-((($I$158+$K$158)*12)+Model!I35)+tax*(I160+Model!I35+I161)</f>
        <v>-762862.06074283</v>
      </c>
      <c r="J162" s="28" t="n">
        <f aca="false">-((($I$158+$K$158)*12)+Model!J35)+tax*(J160+Model!J35+J161)</f>
        <v>-774284.326104095</v>
      </c>
      <c r="K162" s="28" t="n">
        <f aca="false">-((($I$158+$K$158)*12)+Model!K35)+tax*(K160+Model!K35+K161)</f>
        <v>-786140.597496983</v>
      </c>
      <c r="L162" s="28" t="n">
        <f aca="false">-((($I$158+$K$158)*12)+Model!L35)+tax*(L160+Model!L35+L161)</f>
        <v>-798450.477499128</v>
      </c>
      <c r="M162" s="28" t="n">
        <f aca="false">-((($I$158+$K$158)*12)+Model!M35)+tax*(M160+Model!M35+M161)+($F$157*sf*(1-sale_cost)-M159-tax*($F$157*sf*(1-sale_cost)-($C$158-SUM($C161:$M161))))</f>
        <v>698870.420277384</v>
      </c>
    </row>
    <row r="163" customFormat="false" ht="15" hidden="false" customHeight="false" outlineLevel="0" collapsed="false">
      <c r="B163" s="20" t="s">
        <v>219</v>
      </c>
      <c r="C163" s="28" t="n">
        <f aca="false">C162+NPV(disc,D162:M162)</f>
        <v>-4767587.16894817</v>
      </c>
      <c r="D163" s="29" t="n">
        <f aca="false">C163-Model!$D$68</f>
        <v>747679.696646533</v>
      </c>
    </row>
    <row r="165" customFormat="false" ht="15" hidden="false" customHeight="false" outlineLevel="0" collapsed="false">
      <c r="B165" s="20" t="s">
        <v>239</v>
      </c>
      <c r="C165" s="13" t="s">
        <v>212</v>
      </c>
      <c r="D165" s="26" t="n">
        <f aca="false">Sensitivity!$B$10</f>
        <v>230</v>
      </c>
      <c r="E165" s="13" t="s">
        <v>213</v>
      </c>
      <c r="F165" s="26" t="n">
        <f aca="false">Sensitivity!C$5</f>
        <v>160</v>
      </c>
      <c r="G165" s="13" t="s">
        <v>214</v>
      </c>
      <c r="H165" s="27" t="n">
        <f aca="false">bank_rate</f>
        <v>0.0726</v>
      </c>
      <c r="I165" s="13" t="s">
        <v>215</v>
      </c>
      <c r="J165" s="27" t="n">
        <f aca="false">cdc_rate</f>
        <v>0.0654</v>
      </c>
    </row>
    <row r="166" customFormat="false" ht="15" hidden="false" customHeight="false" outlineLevel="0" collapsed="false">
      <c r="B166" s="13" t="s">
        <v>216</v>
      </c>
      <c r="C166" s="28" t="n">
        <f aca="false">$D$165*sf*(1+close)+base*sf+fit*sf</f>
        <v>7827400</v>
      </c>
      <c r="E166" s="28" t="n">
        <f aca="false">C166*bank_pct</f>
        <v>3913700</v>
      </c>
      <c r="G166" s="28" t="n">
        <f aca="false">C166*cdc_pct</f>
        <v>3130960</v>
      </c>
      <c r="I166" s="28" t="n">
        <f aca="false">-PMT($H$165/12,amort*12,E166)</f>
        <v>28313.7116265338</v>
      </c>
      <c r="K166" s="28" t="n">
        <f aca="false">-PMT($J$165/12,amort*12,G166)</f>
        <v>21218.7898739561</v>
      </c>
    </row>
    <row r="167" customFormat="false" ht="15" hidden="false" customHeight="false" outlineLevel="0" collapsed="false">
      <c r="B167" s="13" t="s">
        <v>217</v>
      </c>
      <c r="C167" s="28" t="n">
        <f aca="false">-FV($H$165/12,12*C$3,-$I$166,$E$166)-FV($J$165/12,12*C$3,-$K$166,$G$166)</f>
        <v>7044660</v>
      </c>
      <c r="D167" s="28" t="n">
        <f aca="false">-FV($H$165/12,12*D$3,-$I$166,$E$166)-FV($J$165/12,12*D$3,-$K$166,$G$166)</f>
        <v>6935758.39546791</v>
      </c>
      <c r="E167" s="28" t="n">
        <f aca="false">-FV($H$165/12,12*E$3,-$I$166,$E$166)-FV($J$165/12,12*E$3,-$K$166,$G$166)</f>
        <v>6819076.11605176</v>
      </c>
      <c r="F167" s="28" t="n">
        <f aca="false">-FV($H$165/12,12*F$3,-$I$166,$E$166)-FV($J$165/12,12*F$3,-$K$166,$G$166)</f>
        <v>6694055.66113465</v>
      </c>
      <c r="G167" s="28" t="n">
        <f aca="false">-FV($H$165/12,12*G$3,-$I$166,$E$166)-FV($J$165/12,12*G$3,-$K$166,$G$166)</f>
        <v>6560099.47107285</v>
      </c>
      <c r="H167" s="28" t="n">
        <f aca="false">-FV($H$165/12,12*H$3,-$I$166,$E$166)-FV($J$165/12,12*H$3,-$K$166,$G$166)</f>
        <v>6416567.04078775</v>
      </c>
      <c r="I167" s="28" t="n">
        <f aca="false">-FV($H$165/12,12*I$3,-$I$166,$E$166)-FV($J$165/12,12*I$3,-$K$166,$G$166)</f>
        <v>6262771.82481911</v>
      </c>
      <c r="J167" s="28" t="n">
        <f aca="false">-FV($H$165/12,12*J$3,-$I$166,$E$166)-FV($J$165/12,12*J$3,-$K$166,$G$166)</f>
        <v>6097977.91873362</v>
      </c>
      <c r="K167" s="28" t="n">
        <f aca="false">-FV($H$165/12,12*K$3,-$I$166,$E$166)-FV($J$165/12,12*K$3,-$K$166,$G$166)</f>
        <v>5921396.50068558</v>
      </c>
      <c r="L167" s="28" t="n">
        <f aca="false">-FV($H$165/12,12*L$3,-$I$166,$E$166)-FV($J$165/12,12*L$3,-$K$166,$G$166)</f>
        <v>5732182.01574983</v>
      </c>
      <c r="M167" s="28" t="n">
        <f aca="false">-FV($H$165/12,12*M$3,-$I$166,$E$166)-FV($J$165/12,12*M$3,-$K$166,$G$166)</f>
        <v>5529428.08438437</v>
      </c>
    </row>
    <row r="168" customFormat="false" ht="15" hidden="false" customHeight="false" outlineLevel="0" collapsed="false">
      <c r="B168" s="13" t="s">
        <v>169</v>
      </c>
      <c r="C168" s="28" t="n">
        <v>0</v>
      </c>
      <c r="D168" s="28" t="n">
        <f aca="false">(($I$166+$K$166)*12)-(C167-D167)</f>
        <v>485488.413473792</v>
      </c>
      <c r="E168" s="28" t="n">
        <f aca="false">(($I$166+$K$166)*12)-(D167-E167)</f>
        <v>477707.738589723</v>
      </c>
      <c r="F168" s="28" t="n">
        <f aca="false">(($I$166+$K$166)*12)-(E167-F167)</f>
        <v>469369.563088773</v>
      </c>
      <c r="G168" s="28" t="n">
        <f aca="false">(($I$166+$K$166)*12)-(F167-G167)</f>
        <v>460433.827944085</v>
      </c>
      <c r="H168" s="28" t="n">
        <f aca="false">(($I$166+$K$166)*12)-(G167-H167)</f>
        <v>450857.587720772</v>
      </c>
      <c r="I168" s="28" t="n">
        <f aca="false">(($I$166+$K$166)*12)-(H167-I167)</f>
        <v>440594.802037237</v>
      </c>
      <c r="J168" s="28" t="n">
        <f aca="false">(($I$166+$K$166)*12)-(I167-J167)</f>
        <v>429596.111920392</v>
      </c>
      <c r="K168" s="28" t="n">
        <f aca="false">(($I$166+$K$166)*12)-(J167-K167)</f>
        <v>417808.599957842</v>
      </c>
      <c r="L168" s="28" t="n">
        <f aca="false">(($I$166+$K$166)*12)-(K167-L167)</f>
        <v>405175.533070125</v>
      </c>
      <c r="M168" s="28" t="n">
        <f aca="false">(($I$166+$K$166)*12)-(L167-M167)</f>
        <v>391636.086640429</v>
      </c>
    </row>
    <row r="169" customFormat="false" ht="15" hidden="false" customHeight="false" outlineLevel="0" collapsed="false">
      <c r="B169" s="13" t="s">
        <v>171</v>
      </c>
      <c r="C169" s="28" t="n">
        <v>0</v>
      </c>
      <c r="D169" s="28" t="n">
        <f aca="false">(($D$165*sf*(1+close)*bldg_share+base*sf)/bldg_life)+IF(D$3=1,fit*sf*bonus,0)+fit*sf*(1-bonus)/15</f>
        <v>2841902.56410256</v>
      </c>
      <c r="E169" s="28" t="n">
        <f aca="false">(($D$165*sf*(1+close)*bldg_share+base*sf)/bldg_life)+IF(E$3=1,fit*sf*bonus,0)+fit*sf*(1-bonus)/15</f>
        <v>106502.564102564</v>
      </c>
      <c r="F169" s="28" t="n">
        <f aca="false">(($D$165*sf*(1+close)*bldg_share+base*sf)/bldg_life)+IF(F$3=1,fit*sf*bonus,0)+fit*sf*(1-bonus)/15</f>
        <v>106502.564102564</v>
      </c>
      <c r="G169" s="28" t="n">
        <f aca="false">(($D$165*sf*(1+close)*bldg_share+base*sf)/bldg_life)+IF(G$3=1,fit*sf*bonus,0)+fit*sf*(1-bonus)/15</f>
        <v>106502.564102564</v>
      </c>
      <c r="H169" s="28" t="n">
        <f aca="false">(($D$165*sf*(1+close)*bldg_share+base*sf)/bldg_life)+IF(H$3=1,fit*sf*bonus,0)+fit*sf*(1-bonus)/15</f>
        <v>106502.564102564</v>
      </c>
      <c r="I169" s="28" t="n">
        <f aca="false">(($D$165*sf*(1+close)*bldg_share+base*sf)/bldg_life)+IF(I$3=1,fit*sf*bonus,0)+fit*sf*(1-bonus)/15</f>
        <v>106502.564102564</v>
      </c>
      <c r="J169" s="28" t="n">
        <f aca="false">(($D$165*sf*(1+close)*bldg_share+base*sf)/bldg_life)+IF(J$3=1,fit*sf*bonus,0)+fit*sf*(1-bonus)/15</f>
        <v>106502.564102564</v>
      </c>
      <c r="K169" s="28" t="n">
        <f aca="false">(($D$165*sf*(1+close)*bldg_share+base*sf)/bldg_life)+IF(K$3=1,fit*sf*bonus,0)+fit*sf*(1-bonus)/15</f>
        <v>106502.564102564</v>
      </c>
      <c r="L169" s="28" t="n">
        <f aca="false">(($D$165*sf*(1+close)*bldg_share+base*sf)/bldg_life)+IF(L$3=1,fit*sf*bonus,0)+fit*sf*(1-bonus)/15</f>
        <v>106502.564102564</v>
      </c>
      <c r="M169" s="28" t="n">
        <f aca="false">(($D$165*sf*(1+close)*bldg_share+base*sf)/bldg_life)+IF(M$3=1,fit*sf*bonus,0)+fit*sf*(1-bonus)/15</f>
        <v>106502.564102564</v>
      </c>
    </row>
    <row r="170" customFormat="false" ht="15" hidden="false" customHeight="false" outlineLevel="0" collapsed="false">
      <c r="B170" s="13" t="s">
        <v>218</v>
      </c>
      <c r="C170" s="28" t="n">
        <f aca="false">-($C$166-$E$166-$G$166)-carry_m/12*($E$166*$H$165+$G$166*$J$165+Model!$D$8*sf)*(1-tax)</f>
        <v>-999976.952886667</v>
      </c>
      <c r="D170" s="28" t="n">
        <f aca="false">-((($I$166+$K$166)*12)+Model!D35)+tax*(D168+Model!D35+D169)</f>
        <v>-161118.242214845</v>
      </c>
      <c r="E170" s="28" t="n">
        <f aca="false">-((($I$166+$K$166)*12)+Model!E35)+tax*(E168+Model!E35+E169)</f>
        <v>-745150.593825499</v>
      </c>
      <c r="F170" s="28" t="n">
        <f aca="false">-((($I$166+$K$166)*12)+Model!F35)+tax*(F168+Model!F35+F169)</f>
        <v>-755104.952862249</v>
      </c>
      <c r="G170" s="28" t="n">
        <f aca="false">-((($I$166+$K$166)*12)+Model!G35)+tax*(G168+Model!G35+G169)</f>
        <v>-765430.89968963</v>
      </c>
      <c r="H170" s="28" t="n">
        <f aca="false">-((($I$166+$K$166)*12)+Model!H35)+tax*(H168+Model!H35+H169)</f>
        <v>-776144.835856932</v>
      </c>
      <c r="I170" s="28" t="n">
        <f aca="false">-((($I$166+$K$166)*12)+Model!I35)+tax*(I168+Model!I35+I169)</f>
        <v>-787264.034342493</v>
      </c>
      <c r="J170" s="28" t="n">
        <f aca="false">-((($I$166+$K$166)*12)+Model!J35)+tax*(J168+Model!J35+J169)</f>
        <v>-798806.69316381</v>
      </c>
      <c r="K170" s="28" t="n">
        <f aca="false">-((($I$166+$K$166)*12)+Model!K35)+tax*(K168+Model!K35+K169)</f>
        <v>-810791.992589627</v>
      </c>
      <c r="L170" s="28" t="n">
        <f aca="false">-((($I$166+$K$166)*12)+Model!L35)+tax*(L168+Model!L35+L169)</f>
        <v>-823240.156207141</v>
      </c>
      <c r="M170" s="28" t="n">
        <f aca="false">-((($I$166+$K$166)*12)+Model!M35)+tax*(M168+Model!M35+M169)+($F$165*sf*(1-sale_cost)-M167-tax*($F$165*sf*(1-sale_cost)-($C$166-SUM($C169:$M169))))</f>
        <v>-3067775.98511536</v>
      </c>
    </row>
    <row r="171" customFormat="false" ht="15" hidden="false" customHeight="false" outlineLevel="0" collapsed="false">
      <c r="B171" s="20" t="s">
        <v>219</v>
      </c>
      <c r="C171" s="28" t="n">
        <f aca="false">C170+NPV(disc,D170:M170)</f>
        <v>-6711329.89212367</v>
      </c>
      <c r="D171" s="29" t="n">
        <f aca="false">C171-Model!$D$68</f>
        <v>-1196063.02652896</v>
      </c>
    </row>
    <row r="173" customFormat="false" ht="15" hidden="false" customHeight="false" outlineLevel="0" collapsed="false">
      <c r="B173" s="20" t="s">
        <v>240</v>
      </c>
      <c r="C173" s="13" t="s">
        <v>212</v>
      </c>
      <c r="D173" s="26" t="n">
        <f aca="false">Sensitivity!$B$10</f>
        <v>230</v>
      </c>
      <c r="E173" s="13" t="s">
        <v>213</v>
      </c>
      <c r="F173" s="26" t="n">
        <f aca="false">Sensitivity!D$5</f>
        <v>190</v>
      </c>
      <c r="G173" s="13" t="s">
        <v>214</v>
      </c>
      <c r="H173" s="27" t="n">
        <f aca="false">bank_rate</f>
        <v>0.0726</v>
      </c>
      <c r="I173" s="13" t="s">
        <v>215</v>
      </c>
      <c r="J173" s="27" t="n">
        <f aca="false">cdc_rate</f>
        <v>0.0654</v>
      </c>
    </row>
    <row r="174" customFormat="false" ht="15" hidden="false" customHeight="false" outlineLevel="0" collapsed="false">
      <c r="B174" s="13" t="s">
        <v>216</v>
      </c>
      <c r="C174" s="28" t="n">
        <f aca="false">$D$173*sf*(1+close)+base*sf+fit*sf</f>
        <v>7827400</v>
      </c>
      <c r="E174" s="28" t="n">
        <f aca="false">C174*bank_pct</f>
        <v>3913700</v>
      </c>
      <c r="G174" s="28" t="n">
        <f aca="false">C174*cdc_pct</f>
        <v>3130960</v>
      </c>
      <c r="I174" s="28" t="n">
        <f aca="false">-PMT($H$173/12,amort*12,E174)</f>
        <v>28313.7116265338</v>
      </c>
      <c r="K174" s="28" t="n">
        <f aca="false">-PMT($J$173/12,amort*12,G174)</f>
        <v>21218.7898739561</v>
      </c>
    </row>
    <row r="175" customFormat="false" ht="15" hidden="false" customHeight="false" outlineLevel="0" collapsed="false">
      <c r="B175" s="13" t="s">
        <v>217</v>
      </c>
      <c r="C175" s="28" t="n">
        <f aca="false">-FV($H$173/12,12*C$3,-$I$174,$E$174)-FV($J$173/12,12*C$3,-$K$174,$G$174)</f>
        <v>7044660</v>
      </c>
      <c r="D175" s="28" t="n">
        <f aca="false">-FV($H$173/12,12*D$3,-$I$174,$E$174)-FV($J$173/12,12*D$3,-$K$174,$G$174)</f>
        <v>6935758.39546791</v>
      </c>
      <c r="E175" s="28" t="n">
        <f aca="false">-FV($H$173/12,12*E$3,-$I$174,$E$174)-FV($J$173/12,12*E$3,-$K$174,$G$174)</f>
        <v>6819076.11605176</v>
      </c>
      <c r="F175" s="28" t="n">
        <f aca="false">-FV($H$173/12,12*F$3,-$I$174,$E$174)-FV($J$173/12,12*F$3,-$K$174,$G$174)</f>
        <v>6694055.66113465</v>
      </c>
      <c r="G175" s="28" t="n">
        <f aca="false">-FV($H$173/12,12*G$3,-$I$174,$E$174)-FV($J$173/12,12*G$3,-$K$174,$G$174)</f>
        <v>6560099.47107285</v>
      </c>
      <c r="H175" s="28" t="n">
        <f aca="false">-FV($H$173/12,12*H$3,-$I$174,$E$174)-FV($J$173/12,12*H$3,-$K$174,$G$174)</f>
        <v>6416567.04078775</v>
      </c>
      <c r="I175" s="28" t="n">
        <f aca="false">-FV($H$173/12,12*I$3,-$I$174,$E$174)-FV($J$173/12,12*I$3,-$K$174,$G$174)</f>
        <v>6262771.82481911</v>
      </c>
      <c r="J175" s="28" t="n">
        <f aca="false">-FV($H$173/12,12*J$3,-$I$174,$E$174)-FV($J$173/12,12*J$3,-$K$174,$G$174)</f>
        <v>6097977.91873362</v>
      </c>
      <c r="K175" s="28" t="n">
        <f aca="false">-FV($H$173/12,12*K$3,-$I$174,$E$174)-FV($J$173/12,12*K$3,-$K$174,$G$174)</f>
        <v>5921396.50068558</v>
      </c>
      <c r="L175" s="28" t="n">
        <f aca="false">-FV($H$173/12,12*L$3,-$I$174,$E$174)-FV($J$173/12,12*L$3,-$K$174,$G$174)</f>
        <v>5732182.01574983</v>
      </c>
      <c r="M175" s="28" t="n">
        <f aca="false">-FV($H$173/12,12*M$3,-$I$174,$E$174)-FV($J$173/12,12*M$3,-$K$174,$G$174)</f>
        <v>5529428.08438437</v>
      </c>
    </row>
    <row r="176" customFormat="false" ht="15" hidden="false" customHeight="false" outlineLevel="0" collapsed="false">
      <c r="B176" s="13" t="s">
        <v>169</v>
      </c>
      <c r="C176" s="28" t="n">
        <v>0</v>
      </c>
      <c r="D176" s="28" t="n">
        <f aca="false">(($I$174+$K$174)*12)-(C175-D175)</f>
        <v>485488.413473792</v>
      </c>
      <c r="E176" s="28" t="n">
        <f aca="false">(($I$174+$K$174)*12)-(D175-E175)</f>
        <v>477707.738589723</v>
      </c>
      <c r="F176" s="28" t="n">
        <f aca="false">(($I$174+$K$174)*12)-(E175-F175)</f>
        <v>469369.563088773</v>
      </c>
      <c r="G176" s="28" t="n">
        <f aca="false">(($I$174+$K$174)*12)-(F175-G175)</f>
        <v>460433.827944085</v>
      </c>
      <c r="H176" s="28" t="n">
        <f aca="false">(($I$174+$K$174)*12)-(G175-H175)</f>
        <v>450857.587720772</v>
      </c>
      <c r="I176" s="28" t="n">
        <f aca="false">(($I$174+$K$174)*12)-(H175-I175)</f>
        <v>440594.802037237</v>
      </c>
      <c r="J176" s="28" t="n">
        <f aca="false">(($I$174+$K$174)*12)-(I175-J175)</f>
        <v>429596.111920392</v>
      </c>
      <c r="K176" s="28" t="n">
        <f aca="false">(($I$174+$K$174)*12)-(J175-K175)</f>
        <v>417808.599957842</v>
      </c>
      <c r="L176" s="28" t="n">
        <f aca="false">(($I$174+$K$174)*12)-(K175-L175)</f>
        <v>405175.533070125</v>
      </c>
      <c r="M176" s="28" t="n">
        <f aca="false">(($I$174+$K$174)*12)-(L175-M175)</f>
        <v>391636.086640429</v>
      </c>
    </row>
    <row r="177" customFormat="false" ht="15" hidden="false" customHeight="false" outlineLevel="0" collapsed="false">
      <c r="B177" s="13" t="s">
        <v>171</v>
      </c>
      <c r="C177" s="28" t="n">
        <v>0</v>
      </c>
      <c r="D177" s="28" t="n">
        <f aca="false">(($D$173*sf*(1+close)*bldg_share+base*sf)/bldg_life)+IF(D$3=1,fit*sf*bonus,0)+fit*sf*(1-bonus)/15</f>
        <v>2841902.56410256</v>
      </c>
      <c r="E177" s="28" t="n">
        <f aca="false">(($D$173*sf*(1+close)*bldg_share+base*sf)/bldg_life)+IF(E$3=1,fit*sf*bonus,0)+fit*sf*(1-bonus)/15</f>
        <v>106502.564102564</v>
      </c>
      <c r="F177" s="28" t="n">
        <f aca="false">(($D$173*sf*(1+close)*bldg_share+base*sf)/bldg_life)+IF(F$3=1,fit*sf*bonus,0)+fit*sf*(1-bonus)/15</f>
        <v>106502.564102564</v>
      </c>
      <c r="G177" s="28" t="n">
        <f aca="false">(($D$173*sf*(1+close)*bldg_share+base*sf)/bldg_life)+IF(G$3=1,fit*sf*bonus,0)+fit*sf*(1-bonus)/15</f>
        <v>106502.564102564</v>
      </c>
      <c r="H177" s="28" t="n">
        <f aca="false">(($D$173*sf*(1+close)*bldg_share+base*sf)/bldg_life)+IF(H$3=1,fit*sf*bonus,0)+fit*sf*(1-bonus)/15</f>
        <v>106502.564102564</v>
      </c>
      <c r="I177" s="28" t="n">
        <f aca="false">(($D$173*sf*(1+close)*bldg_share+base*sf)/bldg_life)+IF(I$3=1,fit*sf*bonus,0)+fit*sf*(1-bonus)/15</f>
        <v>106502.564102564</v>
      </c>
      <c r="J177" s="28" t="n">
        <f aca="false">(($D$173*sf*(1+close)*bldg_share+base*sf)/bldg_life)+IF(J$3=1,fit*sf*bonus,0)+fit*sf*(1-bonus)/15</f>
        <v>106502.564102564</v>
      </c>
      <c r="K177" s="28" t="n">
        <f aca="false">(($D$173*sf*(1+close)*bldg_share+base*sf)/bldg_life)+IF(K$3=1,fit*sf*bonus,0)+fit*sf*(1-bonus)/15</f>
        <v>106502.564102564</v>
      </c>
      <c r="L177" s="28" t="n">
        <f aca="false">(($D$173*sf*(1+close)*bldg_share+base*sf)/bldg_life)+IF(L$3=1,fit*sf*bonus,0)+fit*sf*(1-bonus)/15</f>
        <v>106502.564102564</v>
      </c>
      <c r="M177" s="28" t="n">
        <f aca="false">(($D$173*sf*(1+close)*bldg_share+base*sf)/bldg_life)+IF(M$3=1,fit*sf*bonus,0)+fit*sf*(1-bonus)/15</f>
        <v>106502.564102564</v>
      </c>
    </row>
    <row r="178" customFormat="false" ht="15" hidden="false" customHeight="false" outlineLevel="0" collapsed="false">
      <c r="B178" s="13" t="s">
        <v>218</v>
      </c>
      <c r="C178" s="28" t="n">
        <f aca="false">-($C$174-$E$174-$G$174)-carry_m/12*($E$174*$H$173+$G$174*$J$173+Model!$D$8*sf)*(1-tax)</f>
        <v>-999976.952886667</v>
      </c>
      <c r="D178" s="28" t="n">
        <f aca="false">-((($I$174+$K$174)*12)+Model!D35)+tax*(D176+Model!D35+D177)</f>
        <v>-161118.242214845</v>
      </c>
      <c r="E178" s="28" t="n">
        <f aca="false">-((($I$174+$K$174)*12)+Model!E35)+tax*(E176+Model!E35+E177)</f>
        <v>-745150.593825499</v>
      </c>
      <c r="F178" s="28" t="n">
        <f aca="false">-((($I$174+$K$174)*12)+Model!F35)+tax*(F176+Model!F35+F177)</f>
        <v>-755104.952862249</v>
      </c>
      <c r="G178" s="28" t="n">
        <f aca="false">-((($I$174+$K$174)*12)+Model!G35)+tax*(G176+Model!G35+G177)</f>
        <v>-765430.89968963</v>
      </c>
      <c r="H178" s="28" t="n">
        <f aca="false">-((($I$174+$K$174)*12)+Model!H35)+tax*(H176+Model!H35+H177)</f>
        <v>-776144.835856932</v>
      </c>
      <c r="I178" s="28" t="n">
        <f aca="false">-((($I$174+$K$174)*12)+Model!I35)+tax*(I176+Model!I35+I177)</f>
        <v>-787264.034342493</v>
      </c>
      <c r="J178" s="28" t="n">
        <f aca="false">-((($I$174+$K$174)*12)+Model!J35)+tax*(J176+Model!J35+J177)</f>
        <v>-798806.69316381</v>
      </c>
      <c r="K178" s="28" t="n">
        <f aca="false">-((($I$174+$K$174)*12)+Model!K35)+tax*(K176+Model!K35+K177)</f>
        <v>-810791.992589627</v>
      </c>
      <c r="L178" s="28" t="n">
        <f aca="false">-((($I$174+$K$174)*12)+Model!L35)+tax*(L176+Model!L35+L177)</f>
        <v>-823240.156207141</v>
      </c>
      <c r="M178" s="28" t="n">
        <f aca="false">-((($I$174+$K$174)*12)+Model!M35)+tax*(M176+Model!M35+M177)+($F$173*sf*(1-sale_cost)-M175-tax*($F$173*sf*(1-sale_cost)-($C$174-SUM($C177:$M177))))</f>
        <v>-2607995.98511536</v>
      </c>
    </row>
    <row r="179" customFormat="false" ht="15" hidden="false" customHeight="false" outlineLevel="0" collapsed="false">
      <c r="B179" s="20" t="s">
        <v>219</v>
      </c>
      <c r="C179" s="28" t="n">
        <f aca="false">C178+NPV(disc,D178:M178)</f>
        <v>-6498362.79017209</v>
      </c>
      <c r="D179" s="29" t="n">
        <f aca="false">C179-Model!$D$68</f>
        <v>-983095.924577385</v>
      </c>
    </row>
    <row r="181" customFormat="false" ht="15" hidden="false" customHeight="false" outlineLevel="0" collapsed="false">
      <c r="B181" s="20" t="s">
        <v>241</v>
      </c>
      <c r="C181" s="13" t="s">
        <v>212</v>
      </c>
      <c r="D181" s="26" t="n">
        <f aca="false">Sensitivity!$B$10</f>
        <v>230</v>
      </c>
      <c r="E181" s="13" t="s">
        <v>213</v>
      </c>
      <c r="F181" s="26" t="n">
        <f aca="false">Sensitivity!E$5</f>
        <v>243.216063397308</v>
      </c>
      <c r="G181" s="13" t="s">
        <v>214</v>
      </c>
      <c r="H181" s="27" t="n">
        <f aca="false">bank_rate</f>
        <v>0.0726</v>
      </c>
      <c r="I181" s="13" t="s">
        <v>215</v>
      </c>
      <c r="J181" s="27" t="n">
        <f aca="false">cdc_rate</f>
        <v>0.0654</v>
      </c>
    </row>
    <row r="182" customFormat="false" ht="15" hidden="false" customHeight="false" outlineLevel="0" collapsed="false">
      <c r="B182" s="13" t="s">
        <v>216</v>
      </c>
      <c r="C182" s="28" t="n">
        <f aca="false">$D$181*sf*(1+close)+base*sf+fit*sf</f>
        <v>7827400</v>
      </c>
      <c r="E182" s="28" t="n">
        <f aca="false">C182*bank_pct</f>
        <v>3913700</v>
      </c>
      <c r="G182" s="28" t="n">
        <f aca="false">C182*cdc_pct</f>
        <v>3130960</v>
      </c>
      <c r="I182" s="28" t="n">
        <f aca="false">-PMT($H$181/12,amort*12,E182)</f>
        <v>28313.7116265338</v>
      </c>
      <c r="K182" s="28" t="n">
        <f aca="false">-PMT($J$181/12,amort*12,G182)</f>
        <v>21218.7898739561</v>
      </c>
    </row>
    <row r="183" customFormat="false" ht="15" hidden="false" customHeight="false" outlineLevel="0" collapsed="false">
      <c r="B183" s="13" t="s">
        <v>217</v>
      </c>
      <c r="C183" s="28" t="n">
        <f aca="false">-FV($H$181/12,12*C$3,-$I$182,$E$182)-FV($J$181/12,12*C$3,-$K$182,$G$182)</f>
        <v>7044660</v>
      </c>
      <c r="D183" s="28" t="n">
        <f aca="false">-FV($H$181/12,12*D$3,-$I$182,$E$182)-FV($J$181/12,12*D$3,-$K$182,$G$182)</f>
        <v>6935758.39546791</v>
      </c>
      <c r="E183" s="28" t="n">
        <f aca="false">-FV($H$181/12,12*E$3,-$I$182,$E$182)-FV($J$181/12,12*E$3,-$K$182,$G$182)</f>
        <v>6819076.11605176</v>
      </c>
      <c r="F183" s="28" t="n">
        <f aca="false">-FV($H$181/12,12*F$3,-$I$182,$E$182)-FV($J$181/12,12*F$3,-$K$182,$G$182)</f>
        <v>6694055.66113465</v>
      </c>
      <c r="G183" s="28" t="n">
        <f aca="false">-FV($H$181/12,12*G$3,-$I$182,$E$182)-FV($J$181/12,12*G$3,-$K$182,$G$182)</f>
        <v>6560099.47107285</v>
      </c>
      <c r="H183" s="28" t="n">
        <f aca="false">-FV($H$181/12,12*H$3,-$I$182,$E$182)-FV($J$181/12,12*H$3,-$K$182,$G$182)</f>
        <v>6416567.04078775</v>
      </c>
      <c r="I183" s="28" t="n">
        <f aca="false">-FV($H$181/12,12*I$3,-$I$182,$E$182)-FV($J$181/12,12*I$3,-$K$182,$G$182)</f>
        <v>6262771.82481911</v>
      </c>
      <c r="J183" s="28" t="n">
        <f aca="false">-FV($H$181/12,12*J$3,-$I$182,$E$182)-FV($J$181/12,12*J$3,-$K$182,$G$182)</f>
        <v>6097977.91873362</v>
      </c>
      <c r="K183" s="28" t="n">
        <f aca="false">-FV($H$181/12,12*K$3,-$I$182,$E$182)-FV($J$181/12,12*K$3,-$K$182,$G$182)</f>
        <v>5921396.50068558</v>
      </c>
      <c r="L183" s="28" t="n">
        <f aca="false">-FV($H$181/12,12*L$3,-$I$182,$E$182)-FV($J$181/12,12*L$3,-$K$182,$G$182)</f>
        <v>5732182.01574983</v>
      </c>
      <c r="M183" s="28" t="n">
        <f aca="false">-FV($H$181/12,12*M$3,-$I$182,$E$182)-FV($J$181/12,12*M$3,-$K$182,$G$182)</f>
        <v>5529428.08438437</v>
      </c>
    </row>
    <row r="184" customFormat="false" ht="15" hidden="false" customHeight="false" outlineLevel="0" collapsed="false">
      <c r="B184" s="13" t="s">
        <v>169</v>
      </c>
      <c r="C184" s="28" t="n">
        <v>0</v>
      </c>
      <c r="D184" s="28" t="n">
        <f aca="false">(($I$182+$K$182)*12)-(C183-D183)</f>
        <v>485488.413473792</v>
      </c>
      <c r="E184" s="28" t="n">
        <f aca="false">(($I$182+$K$182)*12)-(D183-E183)</f>
        <v>477707.738589723</v>
      </c>
      <c r="F184" s="28" t="n">
        <f aca="false">(($I$182+$K$182)*12)-(E183-F183)</f>
        <v>469369.563088773</v>
      </c>
      <c r="G184" s="28" t="n">
        <f aca="false">(($I$182+$K$182)*12)-(F183-G183)</f>
        <v>460433.827944085</v>
      </c>
      <c r="H184" s="28" t="n">
        <f aca="false">(($I$182+$K$182)*12)-(G183-H183)</f>
        <v>450857.587720772</v>
      </c>
      <c r="I184" s="28" t="n">
        <f aca="false">(($I$182+$K$182)*12)-(H183-I183)</f>
        <v>440594.802037237</v>
      </c>
      <c r="J184" s="28" t="n">
        <f aca="false">(($I$182+$K$182)*12)-(I183-J183)</f>
        <v>429596.111920392</v>
      </c>
      <c r="K184" s="28" t="n">
        <f aca="false">(($I$182+$K$182)*12)-(J183-K183)</f>
        <v>417808.599957842</v>
      </c>
      <c r="L184" s="28" t="n">
        <f aca="false">(($I$182+$K$182)*12)-(K183-L183)</f>
        <v>405175.533070125</v>
      </c>
      <c r="M184" s="28" t="n">
        <f aca="false">(($I$182+$K$182)*12)-(L183-M183)</f>
        <v>391636.086640429</v>
      </c>
    </row>
    <row r="185" customFormat="false" ht="15" hidden="false" customHeight="false" outlineLevel="0" collapsed="false">
      <c r="B185" s="13" t="s">
        <v>171</v>
      </c>
      <c r="C185" s="28" t="n">
        <v>0</v>
      </c>
      <c r="D185" s="28" t="n">
        <f aca="false">(($D$181*sf*(1+close)*bldg_share+base*sf)/bldg_life)+IF(D$3=1,fit*sf*bonus,0)+fit*sf*(1-bonus)/15</f>
        <v>2841902.56410256</v>
      </c>
      <c r="E185" s="28" t="n">
        <f aca="false">(($D$181*sf*(1+close)*bldg_share+base*sf)/bldg_life)+IF(E$3=1,fit*sf*bonus,0)+fit*sf*(1-bonus)/15</f>
        <v>106502.564102564</v>
      </c>
      <c r="F185" s="28" t="n">
        <f aca="false">(($D$181*sf*(1+close)*bldg_share+base*sf)/bldg_life)+IF(F$3=1,fit*sf*bonus,0)+fit*sf*(1-bonus)/15</f>
        <v>106502.564102564</v>
      </c>
      <c r="G185" s="28" t="n">
        <f aca="false">(($D$181*sf*(1+close)*bldg_share+base*sf)/bldg_life)+IF(G$3=1,fit*sf*bonus,0)+fit*sf*(1-bonus)/15</f>
        <v>106502.564102564</v>
      </c>
      <c r="H185" s="28" t="n">
        <f aca="false">(($D$181*sf*(1+close)*bldg_share+base*sf)/bldg_life)+IF(H$3=1,fit*sf*bonus,0)+fit*sf*(1-bonus)/15</f>
        <v>106502.564102564</v>
      </c>
      <c r="I185" s="28" t="n">
        <f aca="false">(($D$181*sf*(1+close)*bldg_share+base*sf)/bldg_life)+IF(I$3=1,fit*sf*bonus,0)+fit*sf*(1-bonus)/15</f>
        <v>106502.564102564</v>
      </c>
      <c r="J185" s="28" t="n">
        <f aca="false">(($D$181*sf*(1+close)*bldg_share+base*sf)/bldg_life)+IF(J$3=1,fit*sf*bonus,0)+fit*sf*(1-bonus)/15</f>
        <v>106502.564102564</v>
      </c>
      <c r="K185" s="28" t="n">
        <f aca="false">(($D$181*sf*(1+close)*bldg_share+base*sf)/bldg_life)+IF(K$3=1,fit*sf*bonus,0)+fit*sf*(1-bonus)/15</f>
        <v>106502.564102564</v>
      </c>
      <c r="L185" s="28" t="n">
        <f aca="false">(($D$181*sf*(1+close)*bldg_share+base*sf)/bldg_life)+IF(L$3=1,fit*sf*bonus,0)+fit*sf*(1-bonus)/15</f>
        <v>106502.564102564</v>
      </c>
      <c r="M185" s="28" t="n">
        <f aca="false">(($D$181*sf*(1+close)*bldg_share+base*sf)/bldg_life)+IF(M$3=1,fit*sf*bonus,0)+fit*sf*(1-bonus)/15</f>
        <v>106502.564102564</v>
      </c>
    </row>
    <row r="186" customFormat="false" ht="15" hidden="false" customHeight="false" outlineLevel="0" collapsed="false">
      <c r="B186" s="13" t="s">
        <v>218</v>
      </c>
      <c r="C186" s="28" t="n">
        <f aca="false">-($C$182-$E$182-$G$182)-carry_m/12*($E$182*$H$181+$G$182*$J$181+Model!$D$8*sf)*(1-tax)</f>
        <v>-999976.952886667</v>
      </c>
      <c r="D186" s="28" t="n">
        <f aca="false">-((($I$182+$K$182)*12)+Model!D35)+tax*(D184+Model!D35+D185)</f>
        <v>-161118.242214845</v>
      </c>
      <c r="E186" s="28" t="n">
        <f aca="false">-((($I$182+$K$182)*12)+Model!E35)+tax*(E184+Model!E35+E185)</f>
        <v>-745150.593825499</v>
      </c>
      <c r="F186" s="28" t="n">
        <f aca="false">-((($I$182+$K$182)*12)+Model!F35)+tax*(F184+Model!F35+F185)</f>
        <v>-755104.952862249</v>
      </c>
      <c r="G186" s="28" t="n">
        <f aca="false">-((($I$182+$K$182)*12)+Model!G35)+tax*(G184+Model!G35+G185)</f>
        <v>-765430.89968963</v>
      </c>
      <c r="H186" s="28" t="n">
        <f aca="false">-((($I$182+$K$182)*12)+Model!H35)+tax*(H184+Model!H35+H185)</f>
        <v>-776144.835856932</v>
      </c>
      <c r="I186" s="28" t="n">
        <f aca="false">-((($I$182+$K$182)*12)+Model!I35)+tax*(I184+Model!I35+I185)</f>
        <v>-787264.034342493</v>
      </c>
      <c r="J186" s="28" t="n">
        <f aca="false">-((($I$182+$K$182)*12)+Model!J35)+tax*(J184+Model!J35+J185)</f>
        <v>-798806.69316381</v>
      </c>
      <c r="K186" s="28" t="n">
        <f aca="false">-((($I$182+$K$182)*12)+Model!K35)+tax*(K184+Model!K35+K185)</f>
        <v>-810791.992589627</v>
      </c>
      <c r="L186" s="28" t="n">
        <f aca="false">-((($I$182+$K$182)*12)+Model!L35)+tax*(L184+Model!L35+L185)</f>
        <v>-823240.156207141</v>
      </c>
      <c r="M186" s="28" t="n">
        <f aca="false">-((($I$182+$K$182)*12)+Model!M35)+tax*(M184+Model!M35+M185)+($F$181*sf*(1-sale_cost)-M183-tax*($F$181*sf*(1-sale_cost)-($C$182-SUM($C185:$M185))))</f>
        <v>-1792406.59748822</v>
      </c>
    </row>
    <row r="187" customFormat="false" ht="15" hidden="false" customHeight="false" outlineLevel="0" collapsed="false">
      <c r="B187" s="20" t="s">
        <v>219</v>
      </c>
      <c r="C187" s="28" t="n">
        <f aca="false">C186+NPV(disc,D186:M186)</f>
        <v>-6120587.09687223</v>
      </c>
      <c r="D187" s="29" t="n">
        <f aca="false">C187-Model!$D$68</f>
        <v>-605320.23127752</v>
      </c>
    </row>
    <row r="189" customFormat="false" ht="15" hidden="false" customHeight="false" outlineLevel="0" collapsed="false">
      <c r="B189" s="20" t="s">
        <v>242</v>
      </c>
      <c r="C189" s="13" t="s">
        <v>212</v>
      </c>
      <c r="D189" s="26" t="n">
        <f aca="false">Sensitivity!$B$10</f>
        <v>230</v>
      </c>
      <c r="E189" s="13" t="s">
        <v>213</v>
      </c>
      <c r="F189" s="26" t="n">
        <f aca="false">Sensitivity!F$5</f>
        <v>300</v>
      </c>
      <c r="G189" s="13" t="s">
        <v>214</v>
      </c>
      <c r="H189" s="27" t="n">
        <f aca="false">bank_rate</f>
        <v>0.0726</v>
      </c>
      <c r="I189" s="13" t="s">
        <v>215</v>
      </c>
      <c r="J189" s="27" t="n">
        <f aca="false">cdc_rate</f>
        <v>0.0654</v>
      </c>
    </row>
    <row r="190" customFormat="false" ht="15" hidden="false" customHeight="false" outlineLevel="0" collapsed="false">
      <c r="B190" s="13" t="s">
        <v>216</v>
      </c>
      <c r="C190" s="28" t="n">
        <f aca="false">$D$189*sf*(1+close)+base*sf+fit*sf</f>
        <v>7827400</v>
      </c>
      <c r="E190" s="28" t="n">
        <f aca="false">C190*bank_pct</f>
        <v>3913700</v>
      </c>
      <c r="G190" s="28" t="n">
        <f aca="false">C190*cdc_pct</f>
        <v>3130960</v>
      </c>
      <c r="I190" s="28" t="n">
        <f aca="false">-PMT($H$189/12,amort*12,E190)</f>
        <v>28313.7116265338</v>
      </c>
      <c r="K190" s="28" t="n">
        <f aca="false">-PMT($J$189/12,amort*12,G190)</f>
        <v>21218.7898739561</v>
      </c>
    </row>
    <row r="191" customFormat="false" ht="15" hidden="false" customHeight="false" outlineLevel="0" collapsed="false">
      <c r="B191" s="13" t="s">
        <v>217</v>
      </c>
      <c r="C191" s="28" t="n">
        <f aca="false">-FV($H$189/12,12*C$3,-$I$190,$E$190)-FV($J$189/12,12*C$3,-$K$190,$G$190)</f>
        <v>7044660</v>
      </c>
      <c r="D191" s="28" t="n">
        <f aca="false">-FV($H$189/12,12*D$3,-$I$190,$E$190)-FV($J$189/12,12*D$3,-$K$190,$G$190)</f>
        <v>6935758.39546791</v>
      </c>
      <c r="E191" s="28" t="n">
        <f aca="false">-FV($H$189/12,12*E$3,-$I$190,$E$190)-FV($J$189/12,12*E$3,-$K$190,$G$190)</f>
        <v>6819076.11605176</v>
      </c>
      <c r="F191" s="28" t="n">
        <f aca="false">-FV($H$189/12,12*F$3,-$I$190,$E$190)-FV($J$189/12,12*F$3,-$K$190,$G$190)</f>
        <v>6694055.66113465</v>
      </c>
      <c r="G191" s="28" t="n">
        <f aca="false">-FV($H$189/12,12*G$3,-$I$190,$E$190)-FV($J$189/12,12*G$3,-$K$190,$G$190)</f>
        <v>6560099.47107285</v>
      </c>
      <c r="H191" s="28" t="n">
        <f aca="false">-FV($H$189/12,12*H$3,-$I$190,$E$190)-FV($J$189/12,12*H$3,-$K$190,$G$190)</f>
        <v>6416567.04078775</v>
      </c>
      <c r="I191" s="28" t="n">
        <f aca="false">-FV($H$189/12,12*I$3,-$I$190,$E$190)-FV($J$189/12,12*I$3,-$K$190,$G$190)</f>
        <v>6262771.82481911</v>
      </c>
      <c r="J191" s="28" t="n">
        <f aca="false">-FV($H$189/12,12*J$3,-$I$190,$E$190)-FV($J$189/12,12*J$3,-$K$190,$G$190)</f>
        <v>6097977.91873362</v>
      </c>
      <c r="K191" s="28" t="n">
        <f aca="false">-FV($H$189/12,12*K$3,-$I$190,$E$190)-FV($J$189/12,12*K$3,-$K$190,$G$190)</f>
        <v>5921396.50068558</v>
      </c>
      <c r="L191" s="28" t="n">
        <f aca="false">-FV($H$189/12,12*L$3,-$I$190,$E$190)-FV($J$189/12,12*L$3,-$K$190,$G$190)</f>
        <v>5732182.01574983</v>
      </c>
      <c r="M191" s="28" t="n">
        <f aca="false">-FV($H$189/12,12*M$3,-$I$190,$E$190)-FV($J$189/12,12*M$3,-$K$190,$G$190)</f>
        <v>5529428.08438437</v>
      </c>
    </row>
    <row r="192" customFormat="false" ht="15" hidden="false" customHeight="false" outlineLevel="0" collapsed="false">
      <c r="B192" s="13" t="s">
        <v>169</v>
      </c>
      <c r="C192" s="28" t="n">
        <v>0</v>
      </c>
      <c r="D192" s="28" t="n">
        <f aca="false">(($I$190+$K$190)*12)-(C191-D191)</f>
        <v>485488.413473792</v>
      </c>
      <c r="E192" s="28" t="n">
        <f aca="false">(($I$190+$K$190)*12)-(D191-E191)</f>
        <v>477707.738589723</v>
      </c>
      <c r="F192" s="28" t="n">
        <f aca="false">(($I$190+$K$190)*12)-(E191-F191)</f>
        <v>469369.563088773</v>
      </c>
      <c r="G192" s="28" t="n">
        <f aca="false">(($I$190+$K$190)*12)-(F191-G191)</f>
        <v>460433.827944085</v>
      </c>
      <c r="H192" s="28" t="n">
        <f aca="false">(($I$190+$K$190)*12)-(G191-H191)</f>
        <v>450857.587720772</v>
      </c>
      <c r="I192" s="28" t="n">
        <f aca="false">(($I$190+$K$190)*12)-(H191-I191)</f>
        <v>440594.802037237</v>
      </c>
      <c r="J192" s="28" t="n">
        <f aca="false">(($I$190+$K$190)*12)-(I191-J191)</f>
        <v>429596.111920392</v>
      </c>
      <c r="K192" s="28" t="n">
        <f aca="false">(($I$190+$K$190)*12)-(J191-K191)</f>
        <v>417808.599957842</v>
      </c>
      <c r="L192" s="28" t="n">
        <f aca="false">(($I$190+$K$190)*12)-(K191-L191)</f>
        <v>405175.533070125</v>
      </c>
      <c r="M192" s="28" t="n">
        <f aca="false">(($I$190+$K$190)*12)-(L191-M191)</f>
        <v>391636.086640429</v>
      </c>
    </row>
    <row r="193" customFormat="false" ht="15" hidden="false" customHeight="false" outlineLevel="0" collapsed="false">
      <c r="B193" s="13" t="s">
        <v>171</v>
      </c>
      <c r="C193" s="28" t="n">
        <v>0</v>
      </c>
      <c r="D193" s="28" t="n">
        <f aca="false">(($D$189*sf*(1+close)*bldg_share+base*sf)/bldg_life)+IF(D$3=1,fit*sf*bonus,0)+fit*sf*(1-bonus)/15</f>
        <v>2841902.56410256</v>
      </c>
      <c r="E193" s="28" t="n">
        <f aca="false">(($D$189*sf*(1+close)*bldg_share+base*sf)/bldg_life)+IF(E$3=1,fit*sf*bonus,0)+fit*sf*(1-bonus)/15</f>
        <v>106502.564102564</v>
      </c>
      <c r="F193" s="28" t="n">
        <f aca="false">(($D$189*sf*(1+close)*bldg_share+base*sf)/bldg_life)+IF(F$3=1,fit*sf*bonus,0)+fit*sf*(1-bonus)/15</f>
        <v>106502.564102564</v>
      </c>
      <c r="G193" s="28" t="n">
        <f aca="false">(($D$189*sf*(1+close)*bldg_share+base*sf)/bldg_life)+IF(G$3=1,fit*sf*bonus,0)+fit*sf*(1-bonus)/15</f>
        <v>106502.564102564</v>
      </c>
      <c r="H193" s="28" t="n">
        <f aca="false">(($D$189*sf*(1+close)*bldg_share+base*sf)/bldg_life)+IF(H$3=1,fit*sf*bonus,0)+fit*sf*(1-bonus)/15</f>
        <v>106502.564102564</v>
      </c>
      <c r="I193" s="28" t="n">
        <f aca="false">(($D$189*sf*(1+close)*bldg_share+base*sf)/bldg_life)+IF(I$3=1,fit*sf*bonus,0)+fit*sf*(1-bonus)/15</f>
        <v>106502.564102564</v>
      </c>
      <c r="J193" s="28" t="n">
        <f aca="false">(($D$189*sf*(1+close)*bldg_share+base*sf)/bldg_life)+IF(J$3=1,fit*sf*bonus,0)+fit*sf*(1-bonus)/15</f>
        <v>106502.564102564</v>
      </c>
      <c r="K193" s="28" t="n">
        <f aca="false">(($D$189*sf*(1+close)*bldg_share+base*sf)/bldg_life)+IF(K$3=1,fit*sf*bonus,0)+fit*sf*(1-bonus)/15</f>
        <v>106502.564102564</v>
      </c>
      <c r="L193" s="28" t="n">
        <f aca="false">(($D$189*sf*(1+close)*bldg_share+base*sf)/bldg_life)+IF(L$3=1,fit*sf*bonus,0)+fit*sf*(1-bonus)/15</f>
        <v>106502.564102564</v>
      </c>
      <c r="M193" s="28" t="n">
        <f aca="false">(($D$189*sf*(1+close)*bldg_share+base*sf)/bldg_life)+IF(M$3=1,fit*sf*bonus,0)+fit*sf*(1-bonus)/15</f>
        <v>106502.564102564</v>
      </c>
    </row>
    <row r="194" customFormat="false" ht="15" hidden="false" customHeight="false" outlineLevel="0" collapsed="false">
      <c r="B194" s="13" t="s">
        <v>218</v>
      </c>
      <c r="C194" s="28" t="n">
        <f aca="false">-($C$190-$E$190-$G$190)-carry_m/12*($E$190*$H$189+$G$190*$J$189+Model!$D$8*sf)*(1-tax)</f>
        <v>-999976.952886667</v>
      </c>
      <c r="D194" s="28" t="n">
        <f aca="false">-((($I$190+$K$190)*12)+Model!D35)+tax*(D192+Model!D35+D193)</f>
        <v>-161118.242214845</v>
      </c>
      <c r="E194" s="28" t="n">
        <f aca="false">-((($I$190+$K$190)*12)+Model!E35)+tax*(E192+Model!E35+E193)</f>
        <v>-745150.593825499</v>
      </c>
      <c r="F194" s="28" t="n">
        <f aca="false">-((($I$190+$K$190)*12)+Model!F35)+tax*(F192+Model!F35+F193)</f>
        <v>-755104.952862249</v>
      </c>
      <c r="G194" s="28" t="n">
        <f aca="false">-((($I$190+$K$190)*12)+Model!G35)+tax*(G192+Model!G35+G193)</f>
        <v>-765430.89968963</v>
      </c>
      <c r="H194" s="28" t="n">
        <f aca="false">-((($I$190+$K$190)*12)+Model!H35)+tax*(H192+Model!H35+H193)</f>
        <v>-776144.835856932</v>
      </c>
      <c r="I194" s="28" t="n">
        <f aca="false">-((($I$190+$K$190)*12)+Model!I35)+tax*(I192+Model!I35+I193)</f>
        <v>-787264.034342493</v>
      </c>
      <c r="J194" s="28" t="n">
        <f aca="false">-((($I$190+$K$190)*12)+Model!J35)+tax*(J192+Model!J35+J193)</f>
        <v>-798806.69316381</v>
      </c>
      <c r="K194" s="28" t="n">
        <f aca="false">-((($I$190+$K$190)*12)+Model!K35)+tax*(K192+Model!K35+K193)</f>
        <v>-810791.992589627</v>
      </c>
      <c r="L194" s="28" t="n">
        <f aca="false">-((($I$190+$K$190)*12)+Model!L35)+tax*(L192+Model!L35+L193)</f>
        <v>-823240.156207141</v>
      </c>
      <c r="M194" s="28" t="n">
        <f aca="false">-((($I$190+$K$190)*12)+Model!M35)+tax*(M192+Model!M35+M193)+($F$189*sf*(1-sale_cost)-M191-tax*($F$189*sf*(1-sale_cost)-($C$190-SUM($C193:$M193))))</f>
        <v>-922135.985115362</v>
      </c>
    </row>
    <row r="195" customFormat="false" ht="15" hidden="false" customHeight="false" outlineLevel="0" collapsed="false">
      <c r="B195" s="20" t="s">
        <v>219</v>
      </c>
      <c r="C195" s="28" t="n">
        <f aca="false">C194+NPV(disc,D194:M194)</f>
        <v>-5717483.41634965</v>
      </c>
      <c r="D195" s="29" t="n">
        <f aca="false">C195-Model!$D$68</f>
        <v>-202216.55075494</v>
      </c>
    </row>
    <row r="197" customFormat="false" ht="15" hidden="false" customHeight="false" outlineLevel="0" collapsed="false">
      <c r="B197" s="20" t="s">
        <v>243</v>
      </c>
      <c r="C197" s="13" t="s">
        <v>212</v>
      </c>
      <c r="D197" s="26" t="n">
        <f aca="false">Sensitivity!$B$10</f>
        <v>230</v>
      </c>
      <c r="E197" s="13" t="s">
        <v>213</v>
      </c>
      <c r="F197" s="26" t="n">
        <f aca="false">Sensitivity!G$5</f>
        <v>389.779066708843</v>
      </c>
      <c r="G197" s="13" t="s">
        <v>214</v>
      </c>
      <c r="H197" s="27" t="n">
        <f aca="false">bank_rate</f>
        <v>0.0726</v>
      </c>
      <c r="I197" s="13" t="s">
        <v>215</v>
      </c>
      <c r="J197" s="27" t="n">
        <f aca="false">cdc_rate</f>
        <v>0.0654</v>
      </c>
    </row>
    <row r="198" customFormat="false" ht="15" hidden="false" customHeight="false" outlineLevel="0" collapsed="false">
      <c r="B198" s="13" t="s">
        <v>216</v>
      </c>
      <c r="C198" s="28" t="n">
        <f aca="false">$D$197*sf*(1+close)+base*sf+fit*sf</f>
        <v>7827400</v>
      </c>
      <c r="E198" s="28" t="n">
        <f aca="false">C198*bank_pct</f>
        <v>3913700</v>
      </c>
      <c r="G198" s="28" t="n">
        <f aca="false">C198*cdc_pct</f>
        <v>3130960</v>
      </c>
      <c r="I198" s="28" t="n">
        <f aca="false">-PMT($H$197/12,amort*12,E198)</f>
        <v>28313.7116265338</v>
      </c>
      <c r="K198" s="28" t="n">
        <f aca="false">-PMT($J$197/12,amort*12,G198)</f>
        <v>21218.7898739561</v>
      </c>
    </row>
    <row r="199" customFormat="false" ht="15" hidden="false" customHeight="false" outlineLevel="0" collapsed="false">
      <c r="B199" s="13" t="s">
        <v>217</v>
      </c>
      <c r="C199" s="28" t="n">
        <f aca="false">-FV($H$197/12,12*C$3,-$I$198,$E$198)-FV($J$197/12,12*C$3,-$K$198,$G$198)</f>
        <v>7044660</v>
      </c>
      <c r="D199" s="28" t="n">
        <f aca="false">-FV($H$197/12,12*D$3,-$I$198,$E$198)-FV($J$197/12,12*D$3,-$K$198,$G$198)</f>
        <v>6935758.39546791</v>
      </c>
      <c r="E199" s="28" t="n">
        <f aca="false">-FV($H$197/12,12*E$3,-$I$198,$E$198)-FV($J$197/12,12*E$3,-$K$198,$G$198)</f>
        <v>6819076.11605176</v>
      </c>
      <c r="F199" s="28" t="n">
        <f aca="false">-FV($H$197/12,12*F$3,-$I$198,$E$198)-FV($J$197/12,12*F$3,-$K$198,$G$198)</f>
        <v>6694055.66113465</v>
      </c>
      <c r="G199" s="28" t="n">
        <f aca="false">-FV($H$197/12,12*G$3,-$I$198,$E$198)-FV($J$197/12,12*G$3,-$K$198,$G$198)</f>
        <v>6560099.47107285</v>
      </c>
      <c r="H199" s="28" t="n">
        <f aca="false">-FV($H$197/12,12*H$3,-$I$198,$E$198)-FV($J$197/12,12*H$3,-$K$198,$G$198)</f>
        <v>6416567.04078775</v>
      </c>
      <c r="I199" s="28" t="n">
        <f aca="false">-FV($H$197/12,12*I$3,-$I$198,$E$198)-FV($J$197/12,12*I$3,-$K$198,$G$198)</f>
        <v>6262771.82481911</v>
      </c>
      <c r="J199" s="28" t="n">
        <f aca="false">-FV($H$197/12,12*J$3,-$I$198,$E$198)-FV($J$197/12,12*J$3,-$K$198,$G$198)</f>
        <v>6097977.91873362</v>
      </c>
      <c r="K199" s="28" t="n">
        <f aca="false">-FV($H$197/12,12*K$3,-$I$198,$E$198)-FV($J$197/12,12*K$3,-$K$198,$G$198)</f>
        <v>5921396.50068558</v>
      </c>
      <c r="L199" s="28" t="n">
        <f aca="false">-FV($H$197/12,12*L$3,-$I$198,$E$198)-FV($J$197/12,12*L$3,-$K$198,$G$198)</f>
        <v>5732182.01574983</v>
      </c>
      <c r="M199" s="28" t="n">
        <f aca="false">-FV($H$197/12,12*M$3,-$I$198,$E$198)-FV($J$197/12,12*M$3,-$K$198,$G$198)</f>
        <v>5529428.08438437</v>
      </c>
    </row>
    <row r="200" customFormat="false" ht="15" hidden="false" customHeight="false" outlineLevel="0" collapsed="false">
      <c r="B200" s="13" t="s">
        <v>169</v>
      </c>
      <c r="C200" s="28" t="n">
        <v>0</v>
      </c>
      <c r="D200" s="28" t="n">
        <f aca="false">(($I$198+$K$198)*12)-(C199-D199)</f>
        <v>485488.413473792</v>
      </c>
      <c r="E200" s="28" t="n">
        <f aca="false">(($I$198+$K$198)*12)-(D199-E199)</f>
        <v>477707.738589723</v>
      </c>
      <c r="F200" s="28" t="n">
        <f aca="false">(($I$198+$K$198)*12)-(E199-F199)</f>
        <v>469369.563088773</v>
      </c>
      <c r="G200" s="28" t="n">
        <f aca="false">(($I$198+$K$198)*12)-(F199-G199)</f>
        <v>460433.827944085</v>
      </c>
      <c r="H200" s="28" t="n">
        <f aca="false">(($I$198+$K$198)*12)-(G199-H199)</f>
        <v>450857.587720772</v>
      </c>
      <c r="I200" s="28" t="n">
        <f aca="false">(($I$198+$K$198)*12)-(H199-I199)</f>
        <v>440594.802037237</v>
      </c>
      <c r="J200" s="28" t="n">
        <f aca="false">(($I$198+$K$198)*12)-(I199-J199)</f>
        <v>429596.111920392</v>
      </c>
      <c r="K200" s="28" t="n">
        <f aca="false">(($I$198+$K$198)*12)-(J199-K199)</f>
        <v>417808.599957842</v>
      </c>
      <c r="L200" s="28" t="n">
        <f aca="false">(($I$198+$K$198)*12)-(K199-L199)</f>
        <v>405175.533070125</v>
      </c>
      <c r="M200" s="28" t="n">
        <f aca="false">(($I$198+$K$198)*12)-(L199-M199)</f>
        <v>391636.086640429</v>
      </c>
    </row>
    <row r="201" customFormat="false" ht="15" hidden="false" customHeight="false" outlineLevel="0" collapsed="false">
      <c r="B201" s="13" t="s">
        <v>171</v>
      </c>
      <c r="C201" s="28" t="n">
        <v>0</v>
      </c>
      <c r="D201" s="28" t="n">
        <f aca="false">(($D$197*sf*(1+close)*bldg_share+base*sf)/bldg_life)+IF(D$3=1,fit*sf*bonus,0)+fit*sf*(1-bonus)/15</f>
        <v>2841902.56410256</v>
      </c>
      <c r="E201" s="28" t="n">
        <f aca="false">(($D$197*sf*(1+close)*bldg_share+base*sf)/bldg_life)+IF(E$3=1,fit*sf*bonus,0)+fit*sf*(1-bonus)/15</f>
        <v>106502.564102564</v>
      </c>
      <c r="F201" s="28" t="n">
        <f aca="false">(($D$197*sf*(1+close)*bldg_share+base*sf)/bldg_life)+IF(F$3=1,fit*sf*bonus,0)+fit*sf*(1-bonus)/15</f>
        <v>106502.564102564</v>
      </c>
      <c r="G201" s="28" t="n">
        <f aca="false">(($D$197*sf*(1+close)*bldg_share+base*sf)/bldg_life)+IF(G$3=1,fit*sf*bonus,0)+fit*sf*(1-bonus)/15</f>
        <v>106502.564102564</v>
      </c>
      <c r="H201" s="28" t="n">
        <f aca="false">(($D$197*sf*(1+close)*bldg_share+base*sf)/bldg_life)+IF(H$3=1,fit*sf*bonus,0)+fit*sf*(1-bonus)/15</f>
        <v>106502.564102564</v>
      </c>
      <c r="I201" s="28" t="n">
        <f aca="false">(($D$197*sf*(1+close)*bldg_share+base*sf)/bldg_life)+IF(I$3=1,fit*sf*bonus,0)+fit*sf*(1-bonus)/15</f>
        <v>106502.564102564</v>
      </c>
      <c r="J201" s="28" t="n">
        <f aca="false">(($D$197*sf*(1+close)*bldg_share+base*sf)/bldg_life)+IF(J$3=1,fit*sf*bonus,0)+fit*sf*(1-bonus)/15</f>
        <v>106502.564102564</v>
      </c>
      <c r="K201" s="28" t="n">
        <f aca="false">(($D$197*sf*(1+close)*bldg_share+base*sf)/bldg_life)+IF(K$3=1,fit*sf*bonus,0)+fit*sf*(1-bonus)/15</f>
        <v>106502.564102564</v>
      </c>
      <c r="L201" s="28" t="n">
        <f aca="false">(($D$197*sf*(1+close)*bldg_share+base*sf)/bldg_life)+IF(L$3=1,fit*sf*bonus,0)+fit*sf*(1-bonus)/15</f>
        <v>106502.564102564</v>
      </c>
      <c r="M201" s="28" t="n">
        <f aca="false">(($D$197*sf*(1+close)*bldg_share+base*sf)/bldg_life)+IF(M$3=1,fit*sf*bonus,0)+fit*sf*(1-bonus)/15</f>
        <v>106502.564102564</v>
      </c>
    </row>
    <row r="202" customFormat="false" ht="15" hidden="false" customHeight="false" outlineLevel="0" collapsed="false">
      <c r="B202" s="13" t="s">
        <v>218</v>
      </c>
      <c r="C202" s="28" t="n">
        <f aca="false">-($C$198-$E$198-$G$198)-carry_m/12*($E$198*$H$197+$G$198*$J$197+Model!$D$8*sf)*(1-tax)</f>
        <v>-999976.952886667</v>
      </c>
      <c r="D202" s="28" t="n">
        <f aca="false">-((($I$198+$K$198)*12)+Model!D35)+tax*(D200+Model!D35+D201)</f>
        <v>-161118.242214845</v>
      </c>
      <c r="E202" s="28" t="n">
        <f aca="false">-((($I$198+$K$198)*12)+Model!E35)+tax*(E200+Model!E35+E201)</f>
        <v>-745150.593825499</v>
      </c>
      <c r="F202" s="28" t="n">
        <f aca="false">-((($I$198+$K$198)*12)+Model!F35)+tax*(F200+Model!F35+F201)</f>
        <v>-755104.952862249</v>
      </c>
      <c r="G202" s="28" t="n">
        <f aca="false">-((($I$198+$K$198)*12)+Model!G35)+tax*(G200+Model!G35+G201)</f>
        <v>-765430.89968963</v>
      </c>
      <c r="H202" s="28" t="n">
        <f aca="false">-((($I$198+$K$198)*12)+Model!H35)+tax*(H200+Model!H35+H201)</f>
        <v>-776144.835856932</v>
      </c>
      <c r="I202" s="28" t="n">
        <f aca="false">-((($I$198+$K$198)*12)+Model!I35)+tax*(I200+Model!I35+I201)</f>
        <v>-787264.034342493</v>
      </c>
      <c r="J202" s="28" t="n">
        <f aca="false">-((($I$198+$K$198)*12)+Model!J35)+tax*(J200+Model!J35+J201)</f>
        <v>-798806.69316381</v>
      </c>
      <c r="K202" s="28" t="n">
        <f aca="false">-((($I$198+$K$198)*12)+Model!K35)+tax*(K200+Model!K35+K201)</f>
        <v>-810791.992589627</v>
      </c>
      <c r="L202" s="28" t="n">
        <f aca="false">-((($I$198+$K$198)*12)+Model!L35)+tax*(L200+Model!L35+L201)</f>
        <v>-823240.156207141</v>
      </c>
      <c r="M202" s="28" t="n">
        <f aca="false">-((($I$198+$K$198)*12)+Model!M35)+tax*(M200+Model!M35+M201)+($F$197*sf*(1-sale_cost)-M199-tax*($F$197*sf*(1-sale_cost)-($C$198-SUM($C201:$M201))))</f>
        <v>453817.991264368</v>
      </c>
    </row>
    <row r="203" customFormat="false" ht="15" hidden="false" customHeight="false" outlineLevel="0" collapsed="false">
      <c r="B203" s="20" t="s">
        <v>219</v>
      </c>
      <c r="C203" s="28" t="n">
        <f aca="false">C202+NPV(disc,D202:M202)</f>
        <v>-5080150.49458633</v>
      </c>
      <c r="D203" s="29" t="n">
        <f aca="false">C203-Model!$D$68</f>
        <v>435116.371008378</v>
      </c>
    </row>
    <row r="205" customFormat="false" ht="15" hidden="false" customHeight="false" outlineLevel="0" collapsed="false">
      <c r="B205" s="20" t="s">
        <v>244</v>
      </c>
      <c r="C205" s="13" t="s">
        <v>212</v>
      </c>
      <c r="D205" s="26" t="n">
        <f aca="false">Sensitivity!$B$15</f>
        <v>150</v>
      </c>
      <c r="E205" s="13" t="s">
        <v>213</v>
      </c>
      <c r="F205" s="26" t="n">
        <f aca="false">user_val*(1+exit_grow)^10</f>
        <v>243.216063397308</v>
      </c>
      <c r="G205" s="13" t="s">
        <v>214</v>
      </c>
      <c r="H205" s="27" t="n">
        <f aca="false">bank_rate+Sensitivity!C$14</f>
        <v>0.0626</v>
      </c>
      <c r="I205" s="13" t="s">
        <v>215</v>
      </c>
      <c r="J205" s="27" t="n">
        <f aca="false">cdc_rate+Sensitivity!C$14</f>
        <v>0.0554</v>
      </c>
    </row>
    <row r="206" customFormat="false" ht="15" hidden="false" customHeight="false" outlineLevel="0" collapsed="false">
      <c r="B206" s="13" t="s">
        <v>216</v>
      </c>
      <c r="C206" s="28" t="n">
        <f aca="false">$D$205*sf*(1+close)+base*sf+fit*sf</f>
        <v>6195400</v>
      </c>
      <c r="E206" s="28" t="n">
        <f aca="false">C206*bank_pct</f>
        <v>3097700</v>
      </c>
      <c r="G206" s="28" t="n">
        <f aca="false">C206*cdc_pct</f>
        <v>2478160</v>
      </c>
      <c r="I206" s="28" t="n">
        <f aca="false">-PMT($H$205/12,amort*12,E206)</f>
        <v>20453.7305544508</v>
      </c>
      <c r="K206" s="28" t="n">
        <f aca="false">-PMT($J$205/12,amort*12,G206)</f>
        <v>15277.325043242</v>
      </c>
    </row>
    <row r="207" customFormat="false" ht="15" hidden="false" customHeight="false" outlineLevel="0" collapsed="false">
      <c r="B207" s="13" t="s">
        <v>217</v>
      </c>
      <c r="C207" s="28" t="n">
        <f aca="false">-FV($H$205/12,12*C$3,-$I$206,$E$206)-FV($J$205/12,12*C$3,-$K$206,$G$206)</f>
        <v>5575860</v>
      </c>
      <c r="D207" s="28" t="n">
        <f aca="false">-FV($H$205/12,12*D$3,-$I$206,$E$206)-FV($J$205/12,12*D$3,-$K$206,$G$206)</f>
        <v>5475601.80347694</v>
      </c>
      <c r="E207" s="28" t="n">
        <f aca="false">-FV($H$205/12,12*E$3,-$I$206,$E$206)-FV($J$205/12,12*E$3,-$K$206,$G$206)</f>
        <v>5369243.07067383</v>
      </c>
      <c r="F207" s="28" t="n">
        <f aca="false">-FV($H$205/12,12*F$3,-$I$206,$E$206)-FV($J$205/12,12*F$3,-$K$206,$G$206)</f>
        <v>5256411.15206679</v>
      </c>
      <c r="G207" s="28" t="n">
        <f aca="false">-FV($H$205/12,12*G$3,-$I$206,$E$206)-FV($J$205/12,12*G$3,-$K$206,$G$206)</f>
        <v>5136710.54814199</v>
      </c>
      <c r="H207" s="28" t="n">
        <f aca="false">-FV($H$205/12,12*H$3,-$I$206,$E$206)-FV($J$205/12,12*H$3,-$K$206,$G$206)</f>
        <v>5009721.50308548</v>
      </c>
      <c r="I207" s="28" t="n">
        <f aca="false">-FV($H$205/12,12*I$3,-$I$206,$E$206)-FV($J$205/12,12*I$3,-$K$206,$G$206)</f>
        <v>4874998.51161052</v>
      </c>
      <c r="J207" s="28" t="n">
        <f aca="false">-FV($H$205/12,12*J$3,-$I$206,$E$206)-FV($J$205/12,12*J$3,-$K$206,$G$206)</f>
        <v>4732068.73353886</v>
      </c>
      <c r="K207" s="28" t="n">
        <f aca="false">-FV($H$205/12,12*K$3,-$I$206,$E$206)-FV($J$205/12,12*K$3,-$K$206,$G$206)</f>
        <v>4580430.31041741</v>
      </c>
      <c r="L207" s="28" t="n">
        <f aca="false">-FV($H$205/12,12*L$3,-$I$206,$E$206)-FV($J$205/12,12*L$3,-$K$206,$G$206)</f>
        <v>4419550.57809634</v>
      </c>
      <c r="M207" s="28" t="n">
        <f aca="false">-FV($H$205/12,12*M$3,-$I$206,$E$206)-FV($J$205/12,12*M$3,-$K$206,$G$206)</f>
        <v>4248864.16881664</v>
      </c>
    </row>
    <row r="208" customFormat="false" ht="15" hidden="false" customHeight="false" outlineLevel="0" collapsed="false">
      <c r="B208" s="13" t="s">
        <v>169</v>
      </c>
      <c r="C208" s="28" t="n">
        <v>0</v>
      </c>
      <c r="D208" s="28" t="n">
        <f aca="false">(($I$206+$K$206)*12)-(C207-D207)</f>
        <v>328514.470649256</v>
      </c>
      <c r="E208" s="28" t="n">
        <f aca="false">(($I$206+$K$206)*12)-(D207-E207)</f>
        <v>322413.934369196</v>
      </c>
      <c r="F208" s="28" t="n">
        <f aca="false">(($I$206+$K$206)*12)-(E207-F207)</f>
        <v>315940.748565276</v>
      </c>
      <c r="G208" s="28" t="n">
        <f aca="false">(($I$206+$K$206)*12)-(F207-G207)</f>
        <v>309072.063247519</v>
      </c>
      <c r="H208" s="28" t="n">
        <f aca="false">(($I$206+$K$206)*12)-(G207-H207)</f>
        <v>301783.622115803</v>
      </c>
      <c r="I208" s="28" t="n">
        <f aca="false">(($I$206+$K$206)*12)-(H207-I207)</f>
        <v>294049.675697352</v>
      </c>
      <c r="J208" s="28" t="n">
        <f aca="false">(($I$206+$K$206)*12)-(I207-J207)</f>
        <v>285842.889100651</v>
      </c>
      <c r="K208" s="28" t="n">
        <f aca="false">(($I$206+$K$206)*12)-(J207-K207)</f>
        <v>277134.244050862</v>
      </c>
      <c r="L208" s="28" t="n">
        <f aca="false">(($I$206+$K$206)*12)-(K207-L207)</f>
        <v>267892.934851242</v>
      </c>
      <c r="M208" s="28" t="n">
        <f aca="false">(($I$206+$K$206)*12)-(L207-M207)</f>
        <v>258086.257892614</v>
      </c>
    </row>
    <row r="209" customFormat="false" ht="15" hidden="false" customHeight="false" outlineLevel="0" collapsed="false">
      <c r="B209" s="13" t="s">
        <v>171</v>
      </c>
      <c r="C209" s="28" t="n">
        <v>0</v>
      </c>
      <c r="D209" s="28" t="n">
        <f aca="false">(($D$205*sf*(1+close)*bldg_share+base*sf)/bldg_life)+IF(D$3=1,fit*sf*bonus,0)+fit*sf*(1-bonus)/15</f>
        <v>2808425.64102564</v>
      </c>
      <c r="E209" s="28" t="n">
        <f aca="false">(($D$205*sf*(1+close)*bldg_share+base*sf)/bldg_life)+IF(E$3=1,fit*sf*bonus,0)+fit*sf*(1-bonus)/15</f>
        <v>73025.641025641</v>
      </c>
      <c r="F209" s="28" t="n">
        <f aca="false">(($D$205*sf*(1+close)*bldg_share+base*sf)/bldg_life)+IF(F$3=1,fit*sf*bonus,0)+fit*sf*(1-bonus)/15</f>
        <v>73025.641025641</v>
      </c>
      <c r="G209" s="28" t="n">
        <f aca="false">(($D$205*sf*(1+close)*bldg_share+base*sf)/bldg_life)+IF(G$3=1,fit*sf*bonus,0)+fit*sf*(1-bonus)/15</f>
        <v>73025.641025641</v>
      </c>
      <c r="H209" s="28" t="n">
        <f aca="false">(($D$205*sf*(1+close)*bldg_share+base*sf)/bldg_life)+IF(H$3=1,fit*sf*bonus,0)+fit*sf*(1-bonus)/15</f>
        <v>73025.641025641</v>
      </c>
      <c r="I209" s="28" t="n">
        <f aca="false">(($D$205*sf*(1+close)*bldg_share+base*sf)/bldg_life)+IF(I$3=1,fit*sf*bonus,0)+fit*sf*(1-bonus)/15</f>
        <v>73025.641025641</v>
      </c>
      <c r="J209" s="28" t="n">
        <f aca="false">(($D$205*sf*(1+close)*bldg_share+base*sf)/bldg_life)+IF(J$3=1,fit*sf*bonus,0)+fit*sf*(1-bonus)/15</f>
        <v>73025.641025641</v>
      </c>
      <c r="K209" s="28" t="n">
        <f aca="false">(($D$205*sf*(1+close)*bldg_share+base*sf)/bldg_life)+IF(K$3=1,fit*sf*bonus,0)+fit*sf*(1-bonus)/15</f>
        <v>73025.641025641</v>
      </c>
      <c r="L209" s="28" t="n">
        <f aca="false">(($D$205*sf*(1+close)*bldg_share+base*sf)/bldg_life)+IF(L$3=1,fit*sf*bonus,0)+fit*sf*(1-bonus)/15</f>
        <v>73025.641025641</v>
      </c>
      <c r="M209" s="28" t="n">
        <f aca="false">(($D$205*sf*(1+close)*bldg_share+base*sf)/bldg_life)+IF(M$3=1,fit*sf*bonus,0)+fit*sf*(1-bonus)/15</f>
        <v>73025.641025641</v>
      </c>
    </row>
    <row r="210" customFormat="false" ht="15" hidden="false" customHeight="false" outlineLevel="0" collapsed="false">
      <c r="B210" s="13" t="s">
        <v>218</v>
      </c>
      <c r="C210" s="28" t="n">
        <f aca="false">-($C$206-$E$206-$G$206)-carry_m/12*($E$206*$H$205+$G$206*$J$205+Model!$D$8*sf)*(1-tax)</f>
        <v>-795251.045286667</v>
      </c>
      <c r="D210" s="28" t="n">
        <f aca="false">-((($I$206+$K$206)*12)+Model!D35)+tax*(D208+Model!D35+D209)</f>
        <v>-35495.573220585</v>
      </c>
      <c r="E210" s="28" t="n">
        <f aca="false">-((($I$206+$K$206)*12)+Model!E35)+tax*(E208+Model!E35+E209)</f>
        <v>-619175.095724398</v>
      </c>
      <c r="F210" s="28" t="n">
        <f aca="false">-((($I$206+$K$206)*12)+Model!F35)+tax*(F208+Model!F35+F209)</f>
        <v>-628737.806924771</v>
      </c>
      <c r="G210" s="28" t="n">
        <f aca="false">-((($I$206+$K$206)*12)+Model!G35)+tax*(G208+Model!G35+G209)</f>
        <v>-638629.673288496</v>
      </c>
      <c r="H210" s="28" t="n">
        <f aca="false">-((($I$206+$K$206)*12)+Model!H35)+tax*(H208+Model!H35+H209)</f>
        <v>-648863.171646563</v>
      </c>
      <c r="I210" s="28" t="n">
        <f aca="false">-((($I$206+$K$206)*12)+Model!I35)+tax*(I208+Model!I35+I209)</f>
        <v>-659451.313886456</v>
      </c>
      <c r="J210" s="28" t="n">
        <f aca="false">-((($I$206+$K$206)*12)+Model!J35)+tax*(J208+Model!J35+J209)</f>
        <v>-670407.672968543</v>
      </c>
      <c r="K210" s="28" t="n">
        <f aca="false">-((($I$206+$K$206)*12)+Model!K35)+tax*(K208+Model!K35+K209)</f>
        <v>-681746.410342681</v>
      </c>
      <c r="L210" s="28" t="n">
        <f aca="false">-((($I$206+$K$206)*12)+Model!L35)+tax*(L208+Model!L35+L209)</f>
        <v>-693482.304845694</v>
      </c>
      <c r="M210" s="28" t="n">
        <f aca="false">-((($I$206+$K$206)*12)+Model!M35)+tax*(M208+Model!M35+M209)+($F$205*sf*(1-sale_cost)-M207-tax*($F$205*sf*(1-sale_cost)-($C$206-SUM($C209:$M209))))</f>
        <v>-653719.410508577</v>
      </c>
    </row>
    <row r="211" customFormat="false" ht="15" hidden="false" customHeight="false" outlineLevel="0" collapsed="false">
      <c r="B211" s="20" t="s">
        <v>219</v>
      </c>
      <c r="C211" s="28" t="n">
        <f aca="false">C210+NPV(disc,D210:M210)</f>
        <v>-4593871.13158716</v>
      </c>
      <c r="D211" s="29" t="n">
        <f aca="false">C211-Model!$D$68</f>
        <v>921395.734007549</v>
      </c>
    </row>
    <row r="213" customFormat="false" ht="15" hidden="false" customHeight="false" outlineLevel="0" collapsed="false">
      <c r="B213" s="20" t="s">
        <v>245</v>
      </c>
      <c r="C213" s="13" t="s">
        <v>212</v>
      </c>
      <c r="D213" s="26" t="n">
        <f aca="false">Sensitivity!$B$15</f>
        <v>150</v>
      </c>
      <c r="E213" s="13" t="s">
        <v>213</v>
      </c>
      <c r="F213" s="26" t="n">
        <f aca="false">user_val*(1+exit_grow)^10</f>
        <v>243.216063397308</v>
      </c>
      <c r="G213" s="13" t="s">
        <v>214</v>
      </c>
      <c r="H213" s="27" t="n">
        <f aca="false">bank_rate+Sensitivity!D$14</f>
        <v>0.0676</v>
      </c>
      <c r="I213" s="13" t="s">
        <v>215</v>
      </c>
      <c r="J213" s="27" t="n">
        <f aca="false">cdc_rate+Sensitivity!D$14</f>
        <v>0.0604</v>
      </c>
    </row>
    <row r="214" customFormat="false" ht="15" hidden="false" customHeight="false" outlineLevel="0" collapsed="false">
      <c r="B214" s="13" t="s">
        <v>216</v>
      </c>
      <c r="C214" s="28" t="n">
        <f aca="false">$D$213*sf*(1+close)+base*sf+fit*sf</f>
        <v>6195400</v>
      </c>
      <c r="E214" s="28" t="n">
        <f aca="false">C214*bank_pct</f>
        <v>3097700</v>
      </c>
      <c r="G214" s="28" t="n">
        <f aca="false">C214*cdc_pct</f>
        <v>2478160</v>
      </c>
      <c r="I214" s="28" t="n">
        <f aca="false">-PMT($H$213/12,amort*12,E214)</f>
        <v>21421.9311820054</v>
      </c>
      <c r="K214" s="28" t="n">
        <f aca="false">-PMT($J$213/12,amort*12,G214)</f>
        <v>16027.4684610494</v>
      </c>
    </row>
    <row r="215" customFormat="false" ht="15" hidden="false" customHeight="false" outlineLevel="0" collapsed="false">
      <c r="B215" s="13" t="s">
        <v>217</v>
      </c>
      <c r="C215" s="28" t="n">
        <f aca="false">-FV($H$213/12,12*C$3,-$I$214,$E$214)-FV($J$213/12,12*C$3,-$K$214,$G$214)</f>
        <v>5575860</v>
      </c>
      <c r="D215" s="28" t="n">
        <f aca="false">-FV($H$213/12,12*D$3,-$I$214,$E$214)-FV($J$213/12,12*D$3,-$K$214,$G$214)</f>
        <v>5482847.18718955</v>
      </c>
      <c r="E215" s="28" t="n">
        <f aca="false">-FV($H$213/12,12*E$3,-$I$214,$E$214)-FV($J$213/12,12*E$3,-$K$214,$G$214)</f>
        <v>5383682.93095633</v>
      </c>
      <c r="F215" s="28" t="n">
        <f aca="false">-FV($H$213/12,12*F$3,-$I$214,$E$214)-FV($J$213/12,12*F$3,-$K$214,$G$214)</f>
        <v>5277959.05219888</v>
      </c>
      <c r="G215" s="28" t="n">
        <f aca="false">-FV($H$213/12,12*G$3,-$I$214,$E$214)-FV($J$213/12,12*G$3,-$K$214,$G$214)</f>
        <v>5165240.19864472</v>
      </c>
      <c r="H215" s="28" t="n">
        <f aca="false">-FV($H$213/12,12*H$3,-$I$214,$E$214)-FV($J$213/12,12*H$3,-$K$214,$G$214)</f>
        <v>5045062.03011447</v>
      </c>
      <c r="I215" s="28" t="n">
        <f aca="false">-FV($H$213/12,12*I$3,-$I$214,$E$214)-FV($J$213/12,12*I$3,-$K$214,$G$214)</f>
        <v>4916929.28221517</v>
      </c>
      <c r="J215" s="28" t="n">
        <f aca="false">-FV($H$213/12,12*J$3,-$I$214,$E$214)-FV($J$213/12,12*J$3,-$K$214,$G$214)</f>
        <v>4780313.70029394</v>
      </c>
      <c r="K215" s="28" t="n">
        <f aca="false">-FV($H$213/12,12*K$3,-$I$214,$E$214)-FV($J$213/12,12*K$3,-$K$214,$G$214)</f>
        <v>4634651.83493336</v>
      </c>
      <c r="L215" s="28" t="n">
        <f aca="false">-FV($H$213/12,12*L$3,-$I$214,$E$214)-FV($J$213/12,12*L$3,-$K$214,$G$214)</f>
        <v>4479342.68968181</v>
      </c>
      <c r="M215" s="28" t="n">
        <f aca="false">-FV($H$213/12,12*M$3,-$I$214,$E$214)-FV($J$213/12,12*M$3,-$K$214,$G$214)</f>
        <v>4313745.21108499</v>
      </c>
    </row>
    <row r="216" customFormat="false" ht="15" hidden="false" customHeight="false" outlineLevel="0" collapsed="false">
      <c r="B216" s="13" t="s">
        <v>169</v>
      </c>
      <c r="C216" s="28" t="n">
        <v>0</v>
      </c>
      <c r="D216" s="28" t="n">
        <f aca="false">(($I$214+$K$214)*12)-(C215-D215)</f>
        <v>356379.982906203</v>
      </c>
      <c r="E216" s="28" t="n">
        <f aca="false">(($I$214+$K$214)*12)-(D215-E215)</f>
        <v>350228.539483437</v>
      </c>
      <c r="F216" s="28" t="n">
        <f aca="false">(($I$214+$K$214)*12)-(E215-F215)</f>
        <v>343668.916959215</v>
      </c>
      <c r="G216" s="28" t="n">
        <f aca="false">(($I$214+$K$214)*12)-(F215-G215)</f>
        <v>336673.942162491</v>
      </c>
      <c r="H216" s="28" t="n">
        <f aca="false">(($I$214+$K$214)*12)-(G215-H215)</f>
        <v>329214.627186412</v>
      </c>
      <c r="I216" s="28" t="n">
        <f aca="false">(($I$214+$K$214)*12)-(H215-I215)</f>
        <v>321260.047817354</v>
      </c>
      <c r="J216" s="28" t="n">
        <f aca="false">(($I$214+$K$214)*12)-(I215-J215)</f>
        <v>312777.213795427</v>
      </c>
      <c r="K216" s="28" t="n">
        <f aca="false">(($I$214+$K$214)*12)-(J215-K215)</f>
        <v>303730.930356077</v>
      </c>
      <c r="L216" s="28" t="n">
        <f aca="false">(($I$214+$K$214)*12)-(K215-L215)</f>
        <v>294083.650465109</v>
      </c>
      <c r="M216" s="28" t="n">
        <f aca="false">(($I$214+$K$214)*12)-(L215-M215)</f>
        <v>283795.31711984</v>
      </c>
    </row>
    <row r="217" customFormat="false" ht="15" hidden="false" customHeight="false" outlineLevel="0" collapsed="false">
      <c r="B217" s="13" t="s">
        <v>171</v>
      </c>
      <c r="C217" s="28" t="n">
        <v>0</v>
      </c>
      <c r="D217" s="28" t="n">
        <f aca="false">(($D$213*sf*(1+close)*bldg_share+base*sf)/bldg_life)+IF(D$3=1,fit*sf*bonus,0)+fit*sf*(1-bonus)/15</f>
        <v>2808425.64102564</v>
      </c>
      <c r="E217" s="28" t="n">
        <f aca="false">(($D$213*sf*(1+close)*bldg_share+base*sf)/bldg_life)+IF(E$3=1,fit*sf*bonus,0)+fit*sf*(1-bonus)/15</f>
        <v>73025.641025641</v>
      </c>
      <c r="F217" s="28" t="n">
        <f aca="false">(($D$213*sf*(1+close)*bldg_share+base*sf)/bldg_life)+IF(F$3=1,fit*sf*bonus,0)+fit*sf*(1-bonus)/15</f>
        <v>73025.641025641</v>
      </c>
      <c r="G217" s="28" t="n">
        <f aca="false">(($D$213*sf*(1+close)*bldg_share+base*sf)/bldg_life)+IF(G$3=1,fit*sf*bonus,0)+fit*sf*(1-bonus)/15</f>
        <v>73025.641025641</v>
      </c>
      <c r="H217" s="28" t="n">
        <f aca="false">(($D$213*sf*(1+close)*bldg_share+base*sf)/bldg_life)+IF(H$3=1,fit*sf*bonus,0)+fit*sf*(1-bonus)/15</f>
        <v>73025.641025641</v>
      </c>
      <c r="I217" s="28" t="n">
        <f aca="false">(($D$213*sf*(1+close)*bldg_share+base*sf)/bldg_life)+IF(I$3=1,fit*sf*bonus,0)+fit*sf*(1-bonus)/15</f>
        <v>73025.641025641</v>
      </c>
      <c r="J217" s="28" t="n">
        <f aca="false">(($D$213*sf*(1+close)*bldg_share+base*sf)/bldg_life)+IF(J$3=1,fit*sf*bonus,0)+fit*sf*(1-bonus)/15</f>
        <v>73025.641025641</v>
      </c>
      <c r="K217" s="28" t="n">
        <f aca="false">(($D$213*sf*(1+close)*bldg_share+base*sf)/bldg_life)+IF(K$3=1,fit*sf*bonus,0)+fit*sf*(1-bonus)/15</f>
        <v>73025.641025641</v>
      </c>
      <c r="L217" s="28" t="n">
        <f aca="false">(($D$213*sf*(1+close)*bldg_share+base*sf)/bldg_life)+IF(L$3=1,fit*sf*bonus,0)+fit*sf*(1-bonus)/15</f>
        <v>73025.641025641</v>
      </c>
      <c r="M217" s="28" t="n">
        <f aca="false">(($D$213*sf*(1+close)*bldg_share+base*sf)/bldg_life)+IF(M$3=1,fit*sf*bonus,0)+fit*sf*(1-bonus)/15</f>
        <v>73025.641025641</v>
      </c>
    </row>
    <row r="218" customFormat="false" ht="15" hidden="false" customHeight="false" outlineLevel="0" collapsed="false">
      <c r="B218" s="13" t="s">
        <v>218</v>
      </c>
      <c r="C218" s="28" t="n">
        <f aca="false">-($C$214-$E$214-$G$214)-carry_m/12*($E$214*$H$213+$G$214*$J$213+Model!$D$8*sf)*(1-tax)</f>
        <v>-802592.594286667</v>
      </c>
      <c r="D218" s="28" t="n">
        <f aca="false">-((($I$214+$K$214)*12)+Model!D35)+tax*(D216+Model!D35+D217)</f>
        <v>-50263.9441909704</v>
      </c>
      <c r="E218" s="28" t="n">
        <f aca="false">-((($I$214+$K$214)*12)+Model!E35)+tax*(E216+Model!E35+E217)</f>
        <v>-633954.157194751</v>
      </c>
      <c r="F218" s="28" t="n">
        <f aca="false">-((($I$214+$K$214)*12)+Model!F35)+tax*(F216+Model!F35+F217)</f>
        <v>-643535.020106388</v>
      </c>
      <c r="G218" s="28" t="n">
        <f aca="false">-((($I$214+$K$214)*12)+Model!G35)+tax*(G216+Model!G35+G217)</f>
        <v>-653453.407260696</v>
      </c>
      <c r="H218" s="28" t="n">
        <f aca="false">-((($I$214+$K$214)*12)+Model!H35)+tax*(H216+Model!H35+H217)</f>
        <v>-663722.789126079</v>
      </c>
      <c r="I218" s="28" t="n">
        <f aca="false">-((($I$214+$K$214)*12)+Model!I35)+tax*(I216+Model!I35+I217)</f>
        <v>-674357.2642856</v>
      </c>
      <c r="J218" s="28" t="n">
        <f aca="false">-((($I$214+$K$214)*12)+Model!J35)+tax*(J216+Model!J35+J217)</f>
        <v>-685371.593326984</v>
      </c>
      <c r="K218" s="28" t="n">
        <f aca="false">-((($I$214+$K$214)*12)+Model!K35)+tax*(K216+Model!K35+K217)</f>
        <v>-696781.23476293</v>
      </c>
      <c r="L218" s="28" t="n">
        <f aca="false">-((($I$214+$K$214)*12)+Model!L35)+tax*(L216+Model!L35+L217)</f>
        <v>-708602.383111126</v>
      </c>
      <c r="M218" s="28" t="n">
        <f aca="false">-((($I$214+$K$214)*12)+Model!M35)+tax*(M216+Model!M35+M217)+($F$213*sf*(1-sale_cost)-M215-tax*($F$213*sf*(1-sale_cost)-($C$214-SUM($C217:$M217))))</f>
        <v>-733821.678883556</v>
      </c>
    </row>
    <row r="219" customFormat="false" ht="15" hidden="false" customHeight="false" outlineLevel="0" collapsed="false">
      <c r="B219" s="20" t="s">
        <v>219</v>
      </c>
      <c r="C219" s="28" t="n">
        <f aca="false">C218+NPV(disc,D218:M218)</f>
        <v>-4731227.44060122</v>
      </c>
      <c r="D219" s="29" t="n">
        <f aca="false">C219-Model!$D$68</f>
        <v>784039.424993485</v>
      </c>
    </row>
    <row r="221" customFormat="false" ht="15" hidden="false" customHeight="false" outlineLevel="0" collapsed="false">
      <c r="B221" s="20" t="s">
        <v>246</v>
      </c>
      <c r="C221" s="13" t="s">
        <v>212</v>
      </c>
      <c r="D221" s="26" t="n">
        <f aca="false">Sensitivity!$B$15</f>
        <v>150</v>
      </c>
      <c r="E221" s="13" t="s">
        <v>213</v>
      </c>
      <c r="F221" s="26" t="n">
        <f aca="false">user_val*(1+exit_grow)^10</f>
        <v>243.216063397308</v>
      </c>
      <c r="G221" s="13" t="s">
        <v>214</v>
      </c>
      <c r="H221" s="27" t="n">
        <f aca="false">bank_rate+Sensitivity!E$14</f>
        <v>0.0726</v>
      </c>
      <c r="I221" s="13" t="s">
        <v>215</v>
      </c>
      <c r="J221" s="27" t="n">
        <f aca="false">cdc_rate+Sensitivity!E$14</f>
        <v>0.0654</v>
      </c>
    </row>
    <row r="222" customFormat="false" ht="15" hidden="false" customHeight="false" outlineLevel="0" collapsed="false">
      <c r="B222" s="13" t="s">
        <v>216</v>
      </c>
      <c r="C222" s="28" t="n">
        <f aca="false">$D$221*sf*(1+close)+base*sf+fit*sf</f>
        <v>6195400</v>
      </c>
      <c r="E222" s="28" t="n">
        <f aca="false">C222*bank_pct</f>
        <v>3097700</v>
      </c>
      <c r="G222" s="28" t="n">
        <f aca="false">C222*cdc_pct</f>
        <v>2478160</v>
      </c>
      <c r="I222" s="28" t="n">
        <f aca="false">-PMT($H$221/12,amort*12,E222)</f>
        <v>22410.3494150073</v>
      </c>
      <c r="K222" s="28" t="n">
        <f aca="false">-PMT($J$221/12,amort*12,G222)</f>
        <v>16794.7071550078</v>
      </c>
    </row>
    <row r="223" customFormat="false" ht="15" hidden="false" customHeight="false" outlineLevel="0" collapsed="false">
      <c r="B223" s="13" t="s">
        <v>217</v>
      </c>
      <c r="C223" s="28" t="n">
        <f aca="false">-FV($H$221/12,12*C$3,-$I$222,$E$222)-FV($J$221/12,12*C$3,-$K$222,$G$222)</f>
        <v>5575860</v>
      </c>
      <c r="D223" s="28" t="n">
        <f aca="false">-FV($H$221/12,12*D$3,-$I$222,$E$222)-FV($J$221/12,12*D$3,-$K$222,$G$222)</f>
        <v>5489664.20053682</v>
      </c>
      <c r="E223" s="28" t="n">
        <f aca="false">-FV($H$221/12,12*E$3,-$I$222,$E$222)-FV($J$221/12,12*E$3,-$K$222,$G$222)</f>
        <v>5397309.98407991</v>
      </c>
      <c r="F223" s="28" t="n">
        <f aca="false">-FV($H$221/12,12*F$3,-$I$222,$E$222)-FV($J$221/12,12*F$3,-$K$222,$G$222)</f>
        <v>5298356.0879722</v>
      </c>
      <c r="G223" s="28" t="n">
        <f aca="false">-FV($H$221/12,12*G$3,-$I$222,$E$222)-FV($J$221/12,12*G$3,-$K$222,$G$222)</f>
        <v>5192329.54277088</v>
      </c>
      <c r="H223" s="28" t="n">
        <f aca="false">-FV($H$221/12,12*H$3,-$I$222,$E$222)-FV($J$221/12,12*H$3,-$K$222,$G$222)</f>
        <v>5078723.38765061</v>
      </c>
      <c r="I223" s="28" t="n">
        <f aca="false">-FV($H$221/12,12*I$3,-$I$222,$E$222)-FV($J$221/12,12*I$3,-$K$222,$G$222)</f>
        <v>4956994.22074818</v>
      </c>
      <c r="J223" s="28" t="n">
        <f aca="false">-FV($H$221/12,12*J$3,-$I$222,$E$222)-FV($J$221/12,12*J$3,-$K$222,$G$222)</f>
        <v>4826559.57249179</v>
      </c>
      <c r="K223" s="28" t="n">
        <f aca="false">-FV($H$221/12,12*K$3,-$I$222,$E$222)-FV($J$221/12,12*K$3,-$K$222,$G$222)</f>
        <v>4686795.08909056</v>
      </c>
      <c r="L223" s="28" t="n">
        <f aca="false">-FV($H$221/12,12*L$3,-$I$222,$E$222)-FV($J$221/12,12*L$3,-$K$222,$G$222)</f>
        <v>4537031.51242768</v>
      </c>
      <c r="M223" s="28" t="n">
        <f aca="false">-FV($H$221/12,12*M$3,-$I$222,$E$222)-FV($J$221/12,12*M$3,-$K$222,$G$222)</f>
        <v>4376551.44160193</v>
      </c>
    </row>
    <row r="224" customFormat="false" ht="15" hidden="false" customHeight="false" outlineLevel="0" collapsed="false">
      <c r="B224" s="13" t="s">
        <v>169</v>
      </c>
      <c r="C224" s="28" t="n">
        <v>0</v>
      </c>
      <c r="D224" s="28" t="n">
        <f aca="false">(($I$222+$K$222)*12)-(C223-D223)</f>
        <v>384264.879376999</v>
      </c>
      <c r="E224" s="28" t="n">
        <f aca="false">(($I$222+$K$222)*12)-(D223-E223)</f>
        <v>378106.462383266</v>
      </c>
      <c r="F224" s="28" t="n">
        <f aca="false">(($I$222+$K$222)*12)-(E223-F223)</f>
        <v>371506.782732475</v>
      </c>
      <c r="G224" s="28" t="n">
        <f aca="false">(($I$222+$K$222)*12)-(F223-G223)</f>
        <v>364434.133638857</v>
      </c>
      <c r="H224" s="28" t="n">
        <f aca="false">(($I$222+$K$222)*12)-(G223-H223)</f>
        <v>356854.523719916</v>
      </c>
      <c r="I224" s="28" t="n">
        <f aca="false">(($I$222+$K$222)*12)-(H223-I223)</f>
        <v>348731.511937744</v>
      </c>
      <c r="J224" s="28" t="n">
        <f aca="false">(($I$222+$K$222)*12)-(I223-J223)</f>
        <v>340026.030583795</v>
      </c>
      <c r="K224" s="28" t="n">
        <f aca="false">(($I$222+$K$222)*12)-(J223-K223)</f>
        <v>330696.195438948</v>
      </c>
      <c r="L224" s="28" t="n">
        <f aca="false">(($I$222+$K$222)*12)-(K223-L223)</f>
        <v>320697.102177305</v>
      </c>
      <c r="M224" s="28" t="n">
        <f aca="false">(($I$222+$K$222)*12)-(L223-M223)</f>
        <v>309980.608014427</v>
      </c>
    </row>
    <row r="225" customFormat="false" ht="15" hidden="false" customHeight="false" outlineLevel="0" collapsed="false">
      <c r="B225" s="13" t="s">
        <v>171</v>
      </c>
      <c r="C225" s="28" t="n">
        <v>0</v>
      </c>
      <c r="D225" s="28" t="n">
        <f aca="false">(($D$221*sf*(1+close)*bldg_share+base*sf)/bldg_life)+IF(D$3=1,fit*sf*bonus,0)+fit*sf*(1-bonus)/15</f>
        <v>2808425.64102564</v>
      </c>
      <c r="E225" s="28" t="n">
        <f aca="false">(($D$221*sf*(1+close)*bldg_share+base*sf)/bldg_life)+IF(E$3=1,fit*sf*bonus,0)+fit*sf*(1-bonus)/15</f>
        <v>73025.641025641</v>
      </c>
      <c r="F225" s="28" t="n">
        <f aca="false">(($D$221*sf*(1+close)*bldg_share+base*sf)/bldg_life)+IF(F$3=1,fit*sf*bonus,0)+fit*sf*(1-bonus)/15</f>
        <v>73025.641025641</v>
      </c>
      <c r="G225" s="28" t="n">
        <f aca="false">(($D$221*sf*(1+close)*bldg_share+base*sf)/bldg_life)+IF(G$3=1,fit*sf*bonus,0)+fit*sf*(1-bonus)/15</f>
        <v>73025.641025641</v>
      </c>
      <c r="H225" s="28" t="n">
        <f aca="false">(($D$221*sf*(1+close)*bldg_share+base*sf)/bldg_life)+IF(H$3=1,fit*sf*bonus,0)+fit*sf*(1-bonus)/15</f>
        <v>73025.641025641</v>
      </c>
      <c r="I225" s="28" t="n">
        <f aca="false">(($D$221*sf*(1+close)*bldg_share+base*sf)/bldg_life)+IF(I$3=1,fit*sf*bonus,0)+fit*sf*(1-bonus)/15</f>
        <v>73025.641025641</v>
      </c>
      <c r="J225" s="28" t="n">
        <f aca="false">(($D$221*sf*(1+close)*bldg_share+base*sf)/bldg_life)+IF(J$3=1,fit*sf*bonus,0)+fit*sf*(1-bonus)/15</f>
        <v>73025.641025641</v>
      </c>
      <c r="K225" s="28" t="n">
        <f aca="false">(($D$221*sf*(1+close)*bldg_share+base*sf)/bldg_life)+IF(K$3=1,fit*sf*bonus,0)+fit*sf*(1-bonus)/15</f>
        <v>73025.641025641</v>
      </c>
      <c r="L225" s="28" t="n">
        <f aca="false">(($D$221*sf*(1+close)*bldg_share+base*sf)/bldg_life)+IF(L$3=1,fit*sf*bonus,0)+fit*sf*(1-bonus)/15</f>
        <v>73025.641025641</v>
      </c>
      <c r="M225" s="28" t="n">
        <f aca="false">(($D$221*sf*(1+close)*bldg_share+base*sf)/bldg_life)+IF(M$3=1,fit*sf*bonus,0)+fit*sf*(1-bonus)/15</f>
        <v>73025.641025641</v>
      </c>
    </row>
    <row r="226" customFormat="false" ht="15" hidden="false" customHeight="false" outlineLevel="0" collapsed="false">
      <c r="B226" s="13" t="s">
        <v>218</v>
      </c>
      <c r="C226" s="28" t="n">
        <f aca="false">-($C$222-$E$222-$G$222)-carry_m/12*($E$222*$H$221+$G$222*$J$221+Model!$D$8*sf)*(1-tax)</f>
        <v>-809934.143286667</v>
      </c>
      <c r="D226" s="28" t="n">
        <f aca="false">-((($I$222+$K$222)*12)+Model!D35)+tax*(D224+Model!D35+D225)</f>
        <v>-65475.9990556258</v>
      </c>
      <c r="E226" s="28" t="n">
        <f aca="false">-((($I$222+$K$222)*12)+Model!E35)+tax*(E224+Model!E35+E225)</f>
        <v>-649167.67650931</v>
      </c>
      <c r="F226" s="28" t="n">
        <f aca="false">-((($I$222+$K$222)*12)+Model!F35)+tax*(F224+Model!F35+F225)</f>
        <v>-658756.951417526</v>
      </c>
      <c r="G226" s="28" t="n">
        <f aca="false">-((($I$222+$K$222)*12)+Model!G35)+tax*(G224+Model!G35+G225)</f>
        <v>-668691.650174182</v>
      </c>
      <c r="H226" s="28" t="n">
        <f aca="false">-((($I$222+$K$222)*12)+Model!H35)+tax*(H224+Model!H35+H225)</f>
        <v>-678986.293977566</v>
      </c>
      <c r="I226" s="28" t="n">
        <f aca="false">-((($I$222+$K$222)*12)+Model!I35)+tax*(I224+Model!I35+I225)</f>
        <v>-689656.139943841</v>
      </c>
      <c r="J226" s="28" t="n">
        <f aca="false">-((($I$222+$K$222)*12)+Model!J35)+tax*(J224+Model!J35+J225)</f>
        <v>-700717.224924949</v>
      </c>
      <c r="K226" s="28" t="n">
        <f aca="false">-((($I$222+$K$222)*12)+Model!K35)+tax*(K224+Model!K35+K225)</f>
        <v>-712186.41221905</v>
      </c>
      <c r="L226" s="28" t="n">
        <f aca="false">-((($I$222+$K$222)*12)+Model!L35)+tax*(L224+Model!L35+L225)</f>
        <v>-724081.441375088</v>
      </c>
      <c r="M226" s="28" t="n">
        <f aca="false">-((($I$222+$K$222)*12)+Model!M35)+tax*(M224+Model!M35+M225)+($F$221*sf*(1-sale_cost)-M223-tax*($F$221*sf*(1-sale_cost)-($C$222-SUM($C225:$M225))))</f>
        <v>-812196.881436156</v>
      </c>
    </row>
    <row r="227" customFormat="false" ht="15" hidden="false" customHeight="false" outlineLevel="0" collapsed="false">
      <c r="B227" s="20" t="s">
        <v>219</v>
      </c>
      <c r="C227" s="28" t="n">
        <f aca="false">C226+NPV(disc,D226:M226)</f>
        <v>-4870333.79431961</v>
      </c>
      <c r="D227" s="29" t="n">
        <f aca="false">C227-Model!$D$68</f>
        <v>644933.071275096</v>
      </c>
    </row>
    <row r="229" customFormat="false" ht="15" hidden="false" customHeight="false" outlineLevel="0" collapsed="false">
      <c r="B229" s="20" t="s">
        <v>247</v>
      </c>
      <c r="C229" s="13" t="s">
        <v>212</v>
      </c>
      <c r="D229" s="26" t="n">
        <f aca="false">Sensitivity!$B$15</f>
        <v>150</v>
      </c>
      <c r="E229" s="13" t="s">
        <v>213</v>
      </c>
      <c r="F229" s="26" t="n">
        <f aca="false">user_val*(1+exit_grow)^10</f>
        <v>243.216063397308</v>
      </c>
      <c r="G229" s="13" t="s">
        <v>214</v>
      </c>
      <c r="H229" s="27" t="n">
        <f aca="false">bank_rate+Sensitivity!F$14</f>
        <v>0.0776</v>
      </c>
      <c r="I229" s="13" t="s">
        <v>215</v>
      </c>
      <c r="J229" s="27" t="n">
        <f aca="false">cdc_rate+Sensitivity!F$14</f>
        <v>0.0704</v>
      </c>
    </row>
    <row r="230" customFormat="false" ht="15" hidden="false" customHeight="false" outlineLevel="0" collapsed="false">
      <c r="B230" s="13" t="s">
        <v>216</v>
      </c>
      <c r="C230" s="28" t="n">
        <f aca="false">$D$229*sf*(1+close)+base*sf+fit*sf</f>
        <v>6195400</v>
      </c>
      <c r="E230" s="28" t="n">
        <f aca="false">C230*bank_pct</f>
        <v>3097700</v>
      </c>
      <c r="G230" s="28" t="n">
        <f aca="false">C230*cdc_pct</f>
        <v>2478160</v>
      </c>
      <c r="I230" s="28" t="n">
        <f aca="false">-PMT($H$229/12,amort*12,E230)</f>
        <v>23418.1599123369</v>
      </c>
      <c r="K230" s="28" t="n">
        <f aca="false">-PMT($J$229/12,amort*12,G230)</f>
        <v>17578.4056550435</v>
      </c>
    </row>
    <row r="231" customFormat="false" ht="15" hidden="false" customHeight="false" outlineLevel="0" collapsed="false">
      <c r="B231" s="13" t="s">
        <v>217</v>
      </c>
      <c r="C231" s="28" t="n">
        <f aca="false">-FV($H$229/12,12*C$3,-$I$230,$E$230)-FV($J$229/12,12*C$3,-$K$230,$G$230)</f>
        <v>5575860</v>
      </c>
      <c r="D231" s="28" t="n">
        <f aca="false">-FV($H$229/12,12*D$3,-$I$230,$E$230)-FV($J$229/12,12*D$3,-$K$230,$G$230)</f>
        <v>5496067.92283921</v>
      </c>
      <c r="E231" s="28" t="n">
        <f aca="false">-FV($H$229/12,12*E$3,-$I$230,$E$230)-FV($J$229/12,12*E$3,-$K$230,$G$230)</f>
        <v>5410149.20756456</v>
      </c>
      <c r="F231" s="28" t="n">
        <f aca="false">-FV($H$229/12,12*F$3,-$I$230,$E$230)-FV($J$229/12,12*F$3,-$K$230,$G$230)</f>
        <v>5317632.25514383</v>
      </c>
      <c r="G231" s="28" t="n">
        <f aca="false">-FV($H$229/12,12*G$3,-$I$230,$E$230)-FV($J$229/12,12*G$3,-$K$230,$G$230)</f>
        <v>5218009.0752402</v>
      </c>
      <c r="H231" s="28" t="n">
        <f aca="false">-FV($H$229/12,12*H$3,-$I$230,$E$230)-FV($J$229/12,12*H$3,-$K$230,$G$230)</f>
        <v>5110732.47122022</v>
      </c>
      <c r="I231" s="28" t="n">
        <f aca="false">-FV($H$229/12,12*I$3,-$I$230,$E$230)-FV($J$229/12,12*I$3,-$K$230,$G$230)</f>
        <v>4995213.00689495</v>
      </c>
      <c r="J231" s="28" t="n">
        <f aca="false">-FV($H$229/12,12*J$3,-$I$230,$E$230)-FV($J$229/12,12*J$3,-$K$230,$G$230)</f>
        <v>4870815.73803148</v>
      </c>
      <c r="K231" s="28" t="n">
        <f aca="false">-FV($H$229/12,12*K$3,-$I$230,$E$230)-FV($J$229/12,12*K$3,-$K$230,$G$230)</f>
        <v>4736856.69035039</v>
      </c>
      <c r="L231" s="28" t="n">
        <f aca="false">-FV($H$229/12,12*L$3,-$I$230,$E$230)-FV($J$229/12,12*L$3,-$K$230,$G$230)</f>
        <v>4592599.06430086</v>
      </c>
      <c r="M231" s="28" t="n">
        <f aca="false">-FV($H$229/12,12*M$3,-$I$230,$E$230)-FV($J$229/12,12*M$3,-$K$230,$G$230)</f>
        <v>4437249.14536909</v>
      </c>
    </row>
    <row r="232" customFormat="false" ht="15" hidden="false" customHeight="false" outlineLevel="0" collapsed="false">
      <c r="B232" s="13" t="s">
        <v>169</v>
      </c>
      <c r="C232" s="28" t="n">
        <v>0</v>
      </c>
      <c r="D232" s="28" t="n">
        <f aca="false">(($I$230+$K$230)*12)-(C231-D231)</f>
        <v>412166.709647773</v>
      </c>
      <c r="E232" s="28" t="n">
        <f aca="false">(($I$230+$K$230)*12)-(D231-E231)</f>
        <v>406040.07153392</v>
      </c>
      <c r="F232" s="28" t="n">
        <f aca="false">(($I$230+$K$230)*12)-(E231-F231)</f>
        <v>399441.834387836</v>
      </c>
      <c r="G232" s="28" t="n">
        <f aca="false">(($I$230+$K$230)*12)-(F231-G231)</f>
        <v>392335.606904935</v>
      </c>
      <c r="H232" s="28" t="n">
        <f aca="false">(($I$230+$K$230)*12)-(G231-H231)</f>
        <v>384682.182788576</v>
      </c>
      <c r="I232" s="28" t="n">
        <f aca="false">(($I$230+$K$230)*12)-(H231-I231)</f>
        <v>376439.322483301</v>
      </c>
      <c r="J232" s="28" t="n">
        <f aca="false">(($I$230+$K$230)*12)-(I231-J231)</f>
        <v>367561.517945092</v>
      </c>
      <c r="K232" s="28" t="n">
        <f aca="false">(($I$230+$K$230)*12)-(J231-K231)</f>
        <v>357999.739127474</v>
      </c>
      <c r="L232" s="28" t="n">
        <f aca="false">(($I$230+$K$230)*12)-(K231-L231)</f>
        <v>347701.160759037</v>
      </c>
      <c r="M232" s="28" t="n">
        <f aca="false">(($I$230+$K$230)*12)-(L231-M231)</f>
        <v>336608.867876797</v>
      </c>
    </row>
    <row r="233" customFormat="false" ht="15" hidden="false" customHeight="false" outlineLevel="0" collapsed="false">
      <c r="B233" s="13" t="s">
        <v>171</v>
      </c>
      <c r="C233" s="28" t="n">
        <v>0</v>
      </c>
      <c r="D233" s="28" t="n">
        <f aca="false">(($D$229*sf*(1+close)*bldg_share+base*sf)/bldg_life)+IF(D$3=1,fit*sf*bonus,0)+fit*sf*(1-bonus)/15</f>
        <v>2808425.64102564</v>
      </c>
      <c r="E233" s="28" t="n">
        <f aca="false">(($D$229*sf*(1+close)*bldg_share+base*sf)/bldg_life)+IF(E$3=1,fit*sf*bonus,0)+fit*sf*(1-bonus)/15</f>
        <v>73025.641025641</v>
      </c>
      <c r="F233" s="28" t="n">
        <f aca="false">(($D$229*sf*(1+close)*bldg_share+base*sf)/bldg_life)+IF(F$3=1,fit*sf*bonus,0)+fit*sf*(1-bonus)/15</f>
        <v>73025.641025641</v>
      </c>
      <c r="G233" s="28" t="n">
        <f aca="false">(($D$229*sf*(1+close)*bldg_share+base*sf)/bldg_life)+IF(G$3=1,fit*sf*bonus,0)+fit*sf*(1-bonus)/15</f>
        <v>73025.641025641</v>
      </c>
      <c r="H233" s="28" t="n">
        <f aca="false">(($D$229*sf*(1+close)*bldg_share+base*sf)/bldg_life)+IF(H$3=1,fit*sf*bonus,0)+fit*sf*(1-bonus)/15</f>
        <v>73025.641025641</v>
      </c>
      <c r="I233" s="28" t="n">
        <f aca="false">(($D$229*sf*(1+close)*bldg_share+base*sf)/bldg_life)+IF(I$3=1,fit*sf*bonus,0)+fit*sf*(1-bonus)/15</f>
        <v>73025.641025641</v>
      </c>
      <c r="J233" s="28" t="n">
        <f aca="false">(($D$229*sf*(1+close)*bldg_share+base*sf)/bldg_life)+IF(J$3=1,fit*sf*bonus,0)+fit*sf*(1-bonus)/15</f>
        <v>73025.641025641</v>
      </c>
      <c r="K233" s="28" t="n">
        <f aca="false">(($D$229*sf*(1+close)*bldg_share+base*sf)/bldg_life)+IF(K$3=1,fit*sf*bonus,0)+fit*sf*(1-bonus)/15</f>
        <v>73025.641025641</v>
      </c>
      <c r="L233" s="28" t="n">
        <f aca="false">(($D$229*sf*(1+close)*bldg_share+base*sf)/bldg_life)+IF(L$3=1,fit*sf*bonus,0)+fit*sf*(1-bonus)/15</f>
        <v>73025.641025641</v>
      </c>
      <c r="M233" s="28" t="n">
        <f aca="false">(($D$229*sf*(1+close)*bldg_share+base*sf)/bldg_life)+IF(M$3=1,fit*sf*bonus,0)+fit*sf*(1-bonus)/15</f>
        <v>73025.641025641</v>
      </c>
    </row>
    <row r="234" customFormat="false" ht="15" hidden="false" customHeight="false" outlineLevel="0" collapsed="false">
      <c r="B234" s="13" t="s">
        <v>218</v>
      </c>
      <c r="C234" s="28" t="n">
        <f aca="false">-($C$230-$E$230-$G$230)-carry_m/12*($E$230*$H$229+$G$230*$J$229+Model!$D$8*sf)*(1-tax)</f>
        <v>-817275.692286667</v>
      </c>
      <c r="D234" s="28" t="n">
        <f aca="false">-((($I$230+$K$230)*12)+Model!D35)+tax*(D232+Model!D35+D233)</f>
        <v>-81114.7226671478</v>
      </c>
      <c r="E234" s="28" t="n">
        <f aca="false">-((($I$230+$K$230)*12)+Model!E35)+tax*(E232+Model!E35+E233)</f>
        <v>-664799.726556057</v>
      </c>
      <c r="F234" s="28" t="n">
        <f aca="false">-((($I$230+$K$230)*12)+Model!F35)+tax*(F232+Model!F35+F233)</f>
        <v>-674388.698538285</v>
      </c>
      <c r="G234" s="28" t="n">
        <f aca="false">-((($I$230+$K$230)*12)+Model!G35)+tax*(G232+Model!G35+G233)</f>
        <v>-684330.448756691</v>
      </c>
      <c r="H234" s="28" t="n">
        <f aca="false">-((($I$230+$K$230)*12)+Model!H35)+tax*(H232+Model!H35+H233)</f>
        <v>-694640.593541532</v>
      </c>
      <c r="I234" s="28" t="n">
        <f aca="false">-((($I$230+$K$230)*12)+Model!I35)+tax*(I232+Model!I35+I233)</f>
        <v>-705335.607697659</v>
      </c>
      <c r="J234" s="28" t="n">
        <f aca="false">-((($I$230+$K$230)*12)+Model!J35)+tax*(J232+Model!J35+J233)</f>
        <v>-716432.880547462</v>
      </c>
      <c r="K234" s="28" t="n">
        <f aca="false">-((($I$230+$K$230)*12)+Model!K35)+tax*(K232+Model!K35+K233)</f>
        <v>-727950.776012844</v>
      </c>
      <c r="L234" s="28" t="n">
        <f aca="false">-((($I$230+$K$230)*12)+Model!L35)+tax*(L232+Model!L35+L233)</f>
        <v>-739908.697041309</v>
      </c>
      <c r="M234" s="28" t="n">
        <f aca="false">-((($I$230+$K$230)*12)+Model!M35)+tax*(M232+Model!M35+M233)+($F$229*sf*(1-sale_cost)-M231-tax*($F$229*sf*(1-sale_cost)-($C$230-SUM($C233:$M233))))</f>
        <v>-888800.758600604</v>
      </c>
    </row>
    <row r="235" customFormat="false" ht="15" hidden="false" customHeight="false" outlineLevel="0" collapsed="false">
      <c r="B235" s="20" t="s">
        <v>219</v>
      </c>
      <c r="C235" s="28" t="n">
        <f aca="false">C234+NPV(disc,D234:M234)</f>
        <v>-5011083.26727945</v>
      </c>
      <c r="D235" s="29" t="n">
        <f aca="false">C235-Model!$D$68</f>
        <v>504183.598315254</v>
      </c>
    </row>
    <row r="237" customFormat="false" ht="15" hidden="false" customHeight="false" outlineLevel="0" collapsed="false">
      <c r="B237" s="20" t="s">
        <v>248</v>
      </c>
      <c r="C237" s="13" t="s">
        <v>212</v>
      </c>
      <c r="D237" s="26" t="n">
        <f aca="false">Sensitivity!$B$15</f>
        <v>150</v>
      </c>
      <c r="E237" s="13" t="s">
        <v>213</v>
      </c>
      <c r="F237" s="26" t="n">
        <f aca="false">user_val*(1+exit_grow)^10</f>
        <v>243.216063397308</v>
      </c>
      <c r="G237" s="13" t="s">
        <v>214</v>
      </c>
      <c r="H237" s="27" t="n">
        <f aca="false">bank_rate+Sensitivity!G$14</f>
        <v>0.0826</v>
      </c>
      <c r="I237" s="13" t="s">
        <v>215</v>
      </c>
      <c r="J237" s="27" t="n">
        <f aca="false">cdc_rate+Sensitivity!G$14</f>
        <v>0.0754</v>
      </c>
    </row>
    <row r="238" customFormat="false" ht="15" hidden="false" customHeight="false" outlineLevel="0" collapsed="false">
      <c r="B238" s="13" t="s">
        <v>216</v>
      </c>
      <c r="C238" s="28" t="n">
        <f aca="false">$D$237*sf*(1+close)+base*sf+fit*sf</f>
        <v>6195400</v>
      </c>
      <c r="E238" s="28" t="n">
        <f aca="false">C238*bank_pct</f>
        <v>3097700</v>
      </c>
      <c r="G238" s="28" t="n">
        <f aca="false">C238*cdc_pct</f>
        <v>2478160</v>
      </c>
      <c r="I238" s="28" t="n">
        <f aca="false">-PMT($H$237/12,amort*12,E238)</f>
        <v>24444.5234403707</v>
      </c>
      <c r="K238" s="28" t="n">
        <f aca="false">-PMT($J$237/12,amort*12,G238)</f>
        <v>18377.9101460694</v>
      </c>
    </row>
    <row r="239" customFormat="false" ht="15" hidden="false" customHeight="false" outlineLevel="0" collapsed="false">
      <c r="B239" s="13" t="s">
        <v>217</v>
      </c>
      <c r="C239" s="28" t="n">
        <f aca="false">-FV($H$237/12,12*C$3,-$I$238,$E$238)-FV($J$237/12,12*C$3,-$K$238,$G$238)</f>
        <v>5575860</v>
      </c>
      <c r="D239" s="28" t="n">
        <f aca="false">-FV($H$237/12,12*D$3,-$I$238,$E$238)-FV($J$237/12,12*D$3,-$K$238,$G$238)</f>
        <v>5502073.98491098</v>
      </c>
      <c r="E239" s="28" t="n">
        <f aca="false">-FV($H$237/12,12*E$3,-$I$238,$E$238)-FV($J$237/12,12*E$3,-$K$238,$G$238)</f>
        <v>5422226.99077377</v>
      </c>
      <c r="F239" s="28" t="n">
        <f aca="false">-FV($H$237/12,12*F$3,-$I$238,$E$238)-FV($J$237/12,12*F$3,-$K$238,$G$238)</f>
        <v>5335820.05123198</v>
      </c>
      <c r="G239" s="28" t="n">
        <f aca="false">-FV($H$237/12,12*G$3,-$I$238,$E$238)-FV($J$237/12,12*G$3,-$K$238,$G$238)</f>
        <v>5242313.03302307</v>
      </c>
      <c r="H239" s="28" t="n">
        <f aca="false">-FV($H$237/12,12*H$3,-$I$238,$E$238)-FV($J$237/12,12*H$3,-$K$238,$G$238)</f>
        <v>5141121.23222206</v>
      </c>
      <c r="I239" s="28" t="n">
        <f aca="false">-FV($H$237/12,12*I$3,-$I$238,$E$238)-FV($J$237/12,12*I$3,-$K$238,$G$238)</f>
        <v>5031611.68846311</v>
      </c>
      <c r="J239" s="28" t="n">
        <f aca="false">-FV($H$237/12,12*J$3,-$I$238,$E$238)-FV($J$237/12,12*J$3,-$K$238,$G$238)</f>
        <v>4913099.19372385</v>
      </c>
      <c r="K239" s="28" t="n">
        <f aca="false">-FV($H$237/12,12*K$3,-$I$238,$E$238)-FV($J$237/12,12*K$3,-$K$238,$G$238)</f>
        <v>4784841.97030907</v>
      </c>
      <c r="L239" s="28" t="n">
        <f aca="false">-FV($H$237/12,12*L$3,-$I$238,$E$238)-FV($J$237/12,12*L$3,-$K$238,$G$238)</f>
        <v>4646036.99056013</v>
      </c>
      <c r="M239" s="28" t="n">
        <f aca="false">-FV($H$237/12,12*M$3,-$I$238,$E$238)-FV($J$237/12,12*M$3,-$K$238,$G$238)</f>
        <v>4495814.90853035</v>
      </c>
    </row>
    <row r="240" customFormat="false" ht="15" hidden="false" customHeight="false" outlineLevel="0" collapsed="false">
      <c r="B240" s="13" t="s">
        <v>169</v>
      </c>
      <c r="C240" s="28" t="n">
        <v>0</v>
      </c>
      <c r="D240" s="28" t="n">
        <f aca="false">(($I$238+$K$238)*12)-(C239-D239)</f>
        <v>440083.187948262</v>
      </c>
      <c r="E240" s="28" t="n">
        <f aca="false">(($I$238+$K$238)*12)-(D239-E239)</f>
        <v>434022.208900069</v>
      </c>
      <c r="F240" s="28" t="n">
        <f aca="false">(($I$238+$K$238)*12)-(E239-F239)</f>
        <v>427462.263495489</v>
      </c>
      <c r="G240" s="28" t="n">
        <f aca="false">(($I$238+$K$238)*12)-(F239-G239)</f>
        <v>420362.184828377</v>
      </c>
      <c r="H240" s="28" t="n">
        <f aca="false">(($I$238+$K$238)*12)-(G239-H239)</f>
        <v>412677.402236268</v>
      </c>
      <c r="I240" s="28" t="n">
        <f aca="false">(($I$238+$K$238)*12)-(H239-I239)</f>
        <v>404359.659278331</v>
      </c>
      <c r="J240" s="28" t="n">
        <f aca="false">(($I$238+$K$238)*12)-(I239-J239)</f>
        <v>395356.708298026</v>
      </c>
      <c r="K240" s="28" t="n">
        <f aca="false">(($I$238+$K$238)*12)-(J239-K239)</f>
        <v>385611.9796225</v>
      </c>
      <c r="L240" s="28" t="n">
        <f aca="false">(($I$238+$K$238)*12)-(K239-L239)</f>
        <v>375064.223288346</v>
      </c>
      <c r="M240" s="28" t="n">
        <f aca="false">(($I$238+$K$238)*12)-(L239-M239)</f>
        <v>363647.1210075</v>
      </c>
    </row>
    <row r="241" customFormat="false" ht="15" hidden="false" customHeight="false" outlineLevel="0" collapsed="false">
      <c r="B241" s="13" t="s">
        <v>171</v>
      </c>
      <c r="C241" s="28" t="n">
        <v>0</v>
      </c>
      <c r="D241" s="28" t="n">
        <f aca="false">(($D$237*sf*(1+close)*bldg_share+base*sf)/bldg_life)+IF(D$3=1,fit*sf*bonus,0)+fit*sf*(1-bonus)/15</f>
        <v>2808425.64102564</v>
      </c>
      <c r="E241" s="28" t="n">
        <f aca="false">(($D$237*sf*(1+close)*bldg_share+base*sf)/bldg_life)+IF(E$3=1,fit*sf*bonus,0)+fit*sf*(1-bonus)/15</f>
        <v>73025.641025641</v>
      </c>
      <c r="F241" s="28" t="n">
        <f aca="false">(($D$237*sf*(1+close)*bldg_share+base*sf)/bldg_life)+IF(F$3=1,fit*sf*bonus,0)+fit*sf*(1-bonus)/15</f>
        <v>73025.641025641</v>
      </c>
      <c r="G241" s="28" t="n">
        <f aca="false">(($D$237*sf*(1+close)*bldg_share+base*sf)/bldg_life)+IF(G$3=1,fit*sf*bonus,0)+fit*sf*(1-bonus)/15</f>
        <v>73025.641025641</v>
      </c>
      <c r="H241" s="28" t="n">
        <f aca="false">(($D$237*sf*(1+close)*bldg_share+base*sf)/bldg_life)+IF(H$3=1,fit*sf*bonus,0)+fit*sf*(1-bonus)/15</f>
        <v>73025.641025641</v>
      </c>
      <c r="I241" s="28" t="n">
        <f aca="false">(($D$237*sf*(1+close)*bldg_share+base*sf)/bldg_life)+IF(I$3=1,fit*sf*bonus,0)+fit*sf*(1-bonus)/15</f>
        <v>73025.641025641</v>
      </c>
      <c r="J241" s="28" t="n">
        <f aca="false">(($D$237*sf*(1+close)*bldg_share+base*sf)/bldg_life)+IF(J$3=1,fit*sf*bonus,0)+fit*sf*(1-bonus)/15</f>
        <v>73025.641025641</v>
      </c>
      <c r="K241" s="28" t="n">
        <f aca="false">(($D$237*sf*(1+close)*bldg_share+base*sf)/bldg_life)+IF(K$3=1,fit*sf*bonus,0)+fit*sf*(1-bonus)/15</f>
        <v>73025.641025641</v>
      </c>
      <c r="L241" s="28" t="n">
        <f aca="false">(($D$237*sf*(1+close)*bldg_share+base*sf)/bldg_life)+IF(L$3=1,fit*sf*bonus,0)+fit*sf*(1-bonus)/15</f>
        <v>73025.641025641</v>
      </c>
      <c r="M241" s="28" t="n">
        <f aca="false">(($D$237*sf*(1+close)*bldg_share+base*sf)/bldg_life)+IF(M$3=1,fit*sf*bonus,0)+fit*sf*(1-bonus)/15</f>
        <v>73025.641025641</v>
      </c>
    </row>
    <row r="242" customFormat="false" ht="15" hidden="false" customHeight="false" outlineLevel="0" collapsed="false">
      <c r="B242" s="13" t="s">
        <v>218</v>
      </c>
      <c r="C242" s="28" t="n">
        <f aca="false">-($C$238-$E$238-$G$238)-carry_m/12*($E$238*$H$237+$G$238*$J$237+Model!$D$8*sf)*(1-tax)</f>
        <v>-824617.241286667</v>
      </c>
      <c r="D242" s="28" t="n">
        <f aca="false">-((($I$238+$K$238)*12)+Model!D35)+tax*(D240+Model!D35+D241)</f>
        <v>-97162.678452762</v>
      </c>
      <c r="E242" s="28" t="n">
        <f aca="false">-((($I$238+$K$238)*12)+Model!E35)+tax*(E240+Model!E35+E241)</f>
        <v>-680833.893937883</v>
      </c>
      <c r="F242" s="28" t="n">
        <f aca="false">-((($I$238+$K$238)*12)+Model!F35)+tax*(F240+Model!F35+F241)</f>
        <v>-690414.824654394</v>
      </c>
      <c r="G242" s="28" t="n">
        <f aca="false">-((($I$238+$K$238)*12)+Model!G35)+tax*(G240+Model!G35+G241)</f>
        <v>-700355.283621484</v>
      </c>
      <c r="H242" s="28" t="n">
        <f aca="false">-((($I$238+$K$238)*12)+Model!H35)+tax*(H240+Model!H35+H241)</f>
        <v>-710672.013686234</v>
      </c>
      <c r="I242" s="28" t="n">
        <f aca="false">-((($I$238+$K$238)*12)+Model!I35)+tax*(I240+Model!I35+I241)</f>
        <v>-721382.753199419</v>
      </c>
      <c r="J242" s="28" t="n">
        <f aca="false">-((($I$238+$K$238)*12)+Model!J35)+tax*(J240+Model!J35+J241)</f>
        <v>-732506.306802062</v>
      </c>
      <c r="K242" s="28" t="n">
        <f aca="false">-((($I$238+$K$238)*12)+Model!K35)+tax*(K240+Model!K35+K241)</f>
        <v>-744062.621737605</v>
      </c>
      <c r="L242" s="28" t="n">
        <f aca="false">-((($I$238+$K$238)*12)+Model!L35)+tax*(L240+Model!L35+L241)</f>
        <v>-756072.87013887</v>
      </c>
      <c r="M242" s="28" t="n">
        <f aca="false">-((($I$238+$K$238)*12)+Model!M35)+tax*(M240+Model!M35+M241)+($F$237*sf*(1-sale_cost)-M239-tax*($F$237*sf*(1-sale_cost)-($C$238-SUM($C241:$M241))))</f>
        <v>-963598.904833134</v>
      </c>
    </row>
    <row r="243" customFormat="false" ht="15" hidden="false" customHeight="false" outlineLevel="0" collapsed="false">
      <c r="B243" s="20" t="s">
        <v>219</v>
      </c>
      <c r="C243" s="28" t="n">
        <f aca="false">C242+NPV(disc,D242:M242)</f>
        <v>-5153370.21914476</v>
      </c>
      <c r="D243" s="29" t="n">
        <f aca="false">C243-Model!$D$68</f>
        <v>361896.646449948</v>
      </c>
    </row>
    <row r="245" customFormat="false" ht="15" hidden="false" customHeight="false" outlineLevel="0" collapsed="false">
      <c r="B245" s="20" t="s">
        <v>249</v>
      </c>
      <c r="C245" s="13" t="s">
        <v>212</v>
      </c>
      <c r="D245" s="26" t="n">
        <f aca="false">Sensitivity!$B$16</f>
        <v>170</v>
      </c>
      <c r="E245" s="13" t="s">
        <v>213</v>
      </c>
      <c r="F245" s="26" t="n">
        <f aca="false">user_val*(1+exit_grow)^10</f>
        <v>243.216063397308</v>
      </c>
      <c r="G245" s="13" t="s">
        <v>214</v>
      </c>
      <c r="H245" s="27" t="n">
        <f aca="false">bank_rate+Sensitivity!C$14</f>
        <v>0.0626</v>
      </c>
      <c r="I245" s="13" t="s">
        <v>215</v>
      </c>
      <c r="J245" s="27" t="n">
        <f aca="false">cdc_rate+Sensitivity!C$14</f>
        <v>0.0554</v>
      </c>
    </row>
    <row r="246" customFormat="false" ht="15" hidden="false" customHeight="false" outlineLevel="0" collapsed="false">
      <c r="B246" s="13" t="s">
        <v>216</v>
      </c>
      <c r="C246" s="28" t="n">
        <f aca="false">$D$245*sf*(1+close)+base*sf+fit*sf</f>
        <v>6603400</v>
      </c>
      <c r="E246" s="28" t="n">
        <f aca="false">C246*bank_pct</f>
        <v>3301700</v>
      </c>
      <c r="G246" s="28" t="n">
        <f aca="false">C246*cdc_pct</f>
        <v>2641360</v>
      </c>
      <c r="I246" s="28" t="n">
        <f aca="false">-PMT($H$245/12,amort*12,E246)</f>
        <v>21800.7173617943</v>
      </c>
      <c r="K246" s="28" t="n">
        <f aca="false">-PMT($J$245/12,amort*12,G246)</f>
        <v>16283.4180505769</v>
      </c>
    </row>
    <row r="247" customFormat="false" ht="15" hidden="false" customHeight="false" outlineLevel="0" collapsed="false">
      <c r="B247" s="13" t="s">
        <v>217</v>
      </c>
      <c r="C247" s="28" t="n">
        <f aca="false">-FV($H$245/12,12*C$3,-$I$246,$E$246)-FV($J$245/12,12*C$3,-$K$246,$G$246)</f>
        <v>5943060</v>
      </c>
      <c r="D247" s="28" t="n">
        <f aca="false">-FV($H$245/12,12*D$3,-$I$246,$E$246)-FV($J$245/12,12*D$3,-$K$246,$G$246)</f>
        <v>5836199.26866379</v>
      </c>
      <c r="E247" s="28" t="n">
        <f aca="false">-FV($H$245/12,12*E$3,-$I$246,$E$246)-FV($J$245/12,12*E$3,-$K$246,$G$246)</f>
        <v>5722836.2483274</v>
      </c>
      <c r="F247" s="28" t="n">
        <f aca="false">-FV($H$245/12,12*F$3,-$I$246,$E$246)-FV($J$245/12,12*F$3,-$K$246,$G$246)</f>
        <v>5602573.74851629</v>
      </c>
      <c r="G247" s="28" t="n">
        <f aca="false">-FV($H$245/12,12*G$3,-$I$246,$E$246)-FV($J$245/12,12*G$3,-$K$246,$G$246)</f>
        <v>5474990.22397276</v>
      </c>
      <c r="H247" s="28" t="n">
        <f aca="false">-FV($H$245/12,12*H$3,-$I$246,$E$246)-FV($J$245/12,12*H$3,-$K$246,$G$246)</f>
        <v>5339638.27573275</v>
      </c>
      <c r="I247" s="28" t="n">
        <f aca="false">-FV($H$245/12,12*I$3,-$I$246,$E$246)-FV($J$245/12,12*I$3,-$K$246,$G$246)</f>
        <v>5196043.05961987</v>
      </c>
      <c r="J247" s="28" t="n">
        <f aca="false">-FV($H$245/12,12*J$3,-$I$246,$E$246)-FV($J$245/12,12*J$3,-$K$246,$G$246)</f>
        <v>5043700.59641839</v>
      </c>
      <c r="K247" s="28" t="n">
        <f aca="false">-FV($H$245/12,12*K$3,-$I$246,$E$246)-FV($J$245/12,12*K$3,-$K$246,$G$246)</f>
        <v>4882075.97763023</v>
      </c>
      <c r="L247" s="28" t="n">
        <f aca="false">-FV($H$245/12,12*L$3,-$I$246,$E$246)-FV($J$245/12,12*L$3,-$K$246,$G$246)</f>
        <v>4710601.46034176</v>
      </c>
      <c r="M247" s="28" t="n">
        <f aca="false">-FV($H$245/12,12*M$3,-$I$246,$E$246)-FV($J$245/12,12*M$3,-$K$246,$G$246)</f>
        <v>4528674.44432382</v>
      </c>
    </row>
    <row r="248" customFormat="false" ht="15" hidden="false" customHeight="false" outlineLevel="0" collapsed="false">
      <c r="B248" s="13" t="s">
        <v>169</v>
      </c>
      <c r="C248" s="28" t="n">
        <v>0</v>
      </c>
      <c r="D248" s="28" t="n">
        <f aca="false">(($I$246+$K$246)*12)-(C247-D247)</f>
        <v>350148.893612244</v>
      </c>
      <c r="E248" s="28" t="n">
        <f aca="false">(($I$246+$K$246)*12)-(D247-E247)</f>
        <v>343646.604612059</v>
      </c>
      <c r="F248" s="28" t="n">
        <f aca="false">(($I$246+$K$246)*12)-(E247-F247)</f>
        <v>336747.125137349</v>
      </c>
      <c r="G248" s="28" t="n">
        <f aca="false">(($I$246+$K$246)*12)-(F247-G247)</f>
        <v>329426.100404927</v>
      </c>
      <c r="H248" s="28" t="n">
        <f aca="false">(($I$246+$K$246)*12)-(G247-H247)</f>
        <v>321657.676708441</v>
      </c>
      <c r="I248" s="28" t="n">
        <f aca="false">(($I$246+$K$246)*12)-(H247-I247)</f>
        <v>313414.408835572</v>
      </c>
      <c r="J248" s="28" t="n">
        <f aca="false">(($I$246+$K$246)*12)-(I247-J247)</f>
        <v>304667.16174698</v>
      </c>
      <c r="K248" s="28" t="n">
        <f aca="false">(($I$246+$K$246)*12)-(J247-K247)</f>
        <v>295385.006160289</v>
      </c>
      <c r="L248" s="28" t="n">
        <f aca="false">(($I$246+$K$246)*12)-(K247-L247)</f>
        <v>285535.107659987</v>
      </c>
      <c r="M248" s="28" t="n">
        <f aca="false">(($I$246+$K$246)*12)-(L247-M247)</f>
        <v>275082.608930512</v>
      </c>
    </row>
    <row r="249" customFormat="false" ht="15" hidden="false" customHeight="false" outlineLevel="0" collapsed="false">
      <c r="B249" s="13" t="s">
        <v>171</v>
      </c>
      <c r="C249" s="28" t="n">
        <v>0</v>
      </c>
      <c r="D249" s="28" t="n">
        <f aca="false">(($D$245*sf*(1+close)*bldg_share+base*sf)/bldg_life)+IF(D$3=1,fit*sf*bonus,0)+fit*sf*(1-bonus)/15</f>
        <v>2816794.87179487</v>
      </c>
      <c r="E249" s="28" t="n">
        <f aca="false">(($D$245*sf*(1+close)*bldg_share+base*sf)/bldg_life)+IF(E$3=1,fit*sf*bonus,0)+fit*sf*(1-bonus)/15</f>
        <v>81394.8717948718</v>
      </c>
      <c r="F249" s="28" t="n">
        <f aca="false">(($D$245*sf*(1+close)*bldg_share+base*sf)/bldg_life)+IF(F$3=1,fit*sf*bonus,0)+fit*sf*(1-bonus)/15</f>
        <v>81394.8717948718</v>
      </c>
      <c r="G249" s="28" t="n">
        <f aca="false">(($D$245*sf*(1+close)*bldg_share+base*sf)/bldg_life)+IF(G$3=1,fit*sf*bonus,0)+fit*sf*(1-bonus)/15</f>
        <v>81394.8717948718</v>
      </c>
      <c r="H249" s="28" t="n">
        <f aca="false">(($D$245*sf*(1+close)*bldg_share+base*sf)/bldg_life)+IF(H$3=1,fit*sf*bonus,0)+fit*sf*(1-bonus)/15</f>
        <v>81394.8717948718</v>
      </c>
      <c r="I249" s="28" t="n">
        <f aca="false">(($D$245*sf*(1+close)*bldg_share+base*sf)/bldg_life)+IF(I$3=1,fit*sf*bonus,0)+fit*sf*(1-bonus)/15</f>
        <v>81394.8717948718</v>
      </c>
      <c r="J249" s="28" t="n">
        <f aca="false">(($D$245*sf*(1+close)*bldg_share+base*sf)/bldg_life)+IF(J$3=1,fit*sf*bonus,0)+fit*sf*(1-bonus)/15</f>
        <v>81394.8717948718</v>
      </c>
      <c r="K249" s="28" t="n">
        <f aca="false">(($D$245*sf*(1+close)*bldg_share+base*sf)/bldg_life)+IF(K$3=1,fit*sf*bonus,0)+fit*sf*(1-bonus)/15</f>
        <v>81394.8717948718</v>
      </c>
      <c r="L249" s="28" t="n">
        <f aca="false">(($D$245*sf*(1+close)*bldg_share+base*sf)/bldg_life)+IF(L$3=1,fit*sf*bonus,0)+fit*sf*(1-bonus)/15</f>
        <v>81394.8717948718</v>
      </c>
      <c r="M249" s="28" t="n">
        <f aca="false">(($D$245*sf*(1+close)*bldg_share+base*sf)/bldg_life)+IF(M$3=1,fit*sf*bonus,0)+fit*sf*(1-bonus)/15</f>
        <v>81394.8717948718</v>
      </c>
    </row>
    <row r="250" customFormat="false" ht="15" hidden="false" customHeight="false" outlineLevel="0" collapsed="false">
      <c r="B250" s="13" t="s">
        <v>218</v>
      </c>
      <c r="C250" s="28" t="n">
        <f aca="false">-($C$246-$E$246-$G$246)-carry_m/12*($E$246*$H$245+$G$246*$J$245+Model!$D$8*sf)*(1-tax)</f>
        <v>-841794.787686667</v>
      </c>
      <c r="D250" s="28" t="n">
        <f aca="false">-((($I$246+$K$246)*12)+Model!D35)+tax*(D248+Model!D35+D249)</f>
        <v>-57431.7637129599</v>
      </c>
      <c r="E250" s="28" t="n">
        <f aca="false">-((($I$246+$K$246)*12)+Model!E35)+tax*(E248+Model!E35+E249)</f>
        <v>-641195.654287999</v>
      </c>
      <c r="F250" s="28" t="n">
        <f aca="false">-((($I$246+$K$246)*12)+Model!F35)+tax*(F248+Model!F35+F249)</f>
        <v>-650847.887159238</v>
      </c>
      <c r="G250" s="28" t="n">
        <f aca="false">-((($I$246+$K$246)*12)+Model!G35)+tax*(G248+Model!G35+G249)</f>
        <v>-660834.744800043</v>
      </c>
      <c r="H250" s="28" t="n">
        <f aca="false">-((($I$246+$K$246)*12)+Model!H35)+tax*(H248+Model!H35+H249)</f>
        <v>-671169.039496712</v>
      </c>
      <c r="I250" s="28" t="n">
        <f aca="false">-((($I$246+$K$246)*12)+Model!I35)+tax*(I248+Model!I35+I249)</f>
        <v>-681864.139242033</v>
      </c>
      <c r="J250" s="28" t="n">
        <f aca="false">-((($I$246+$K$246)*12)+Model!J35)+tax*(J248+Model!J35+J249)</f>
        <v>-692933.995027416</v>
      </c>
      <c r="K250" s="28" t="n">
        <f aca="false">-((($I$246+$K$246)*12)+Model!K35)+tax*(K248+Model!K35+K249)</f>
        <v>-704393.169614304</v>
      </c>
      <c r="L250" s="28" t="n">
        <f aca="false">-((($I$246+$K$246)*12)+Model!L35)+tax*(L248+Model!L35+L249)</f>
        <v>-716256.86787046</v>
      </c>
      <c r="M250" s="28" t="n">
        <f aca="false">-((($I$246+$K$246)*12)+Model!M35)+tax*(M248+Model!M35+M249)+($F$245*sf*(1-sale_cost)-M247-tax*($F$245*sf*(1-sale_cost)-($C$246-SUM($C249:$M249))))</f>
        <v>-888335.256227786</v>
      </c>
    </row>
    <row r="251" customFormat="false" ht="15" hidden="false" customHeight="false" outlineLevel="0" collapsed="false">
      <c r="B251" s="20" t="s">
        <v>219</v>
      </c>
      <c r="C251" s="28" t="n">
        <f aca="false">C250+NPV(disc,D250:M250)</f>
        <v>-4888227.92231314</v>
      </c>
      <c r="D251" s="29" t="n">
        <f aca="false">C251-Model!$D$68</f>
        <v>627038.943281562</v>
      </c>
    </row>
    <row r="253" customFormat="false" ht="15" hidden="false" customHeight="false" outlineLevel="0" collapsed="false">
      <c r="B253" s="20" t="s">
        <v>250</v>
      </c>
      <c r="C253" s="13" t="s">
        <v>212</v>
      </c>
      <c r="D253" s="26" t="n">
        <f aca="false">Sensitivity!$B$16</f>
        <v>170</v>
      </c>
      <c r="E253" s="13" t="s">
        <v>213</v>
      </c>
      <c r="F253" s="26" t="n">
        <f aca="false">user_val*(1+exit_grow)^10</f>
        <v>243.216063397308</v>
      </c>
      <c r="G253" s="13" t="s">
        <v>214</v>
      </c>
      <c r="H253" s="27" t="n">
        <f aca="false">bank_rate+Sensitivity!D$14</f>
        <v>0.0676</v>
      </c>
      <c r="I253" s="13" t="s">
        <v>215</v>
      </c>
      <c r="J253" s="27" t="n">
        <f aca="false">cdc_rate+Sensitivity!D$14</f>
        <v>0.0604</v>
      </c>
    </row>
    <row r="254" customFormat="false" ht="15" hidden="false" customHeight="false" outlineLevel="0" collapsed="false">
      <c r="B254" s="13" t="s">
        <v>216</v>
      </c>
      <c r="C254" s="28" t="n">
        <f aca="false">$D$253*sf*(1+close)+base*sf+fit*sf</f>
        <v>6603400</v>
      </c>
      <c r="E254" s="28" t="n">
        <f aca="false">C254*bank_pct</f>
        <v>3301700</v>
      </c>
      <c r="G254" s="28" t="n">
        <f aca="false">C254*cdc_pct</f>
        <v>2641360</v>
      </c>
      <c r="I254" s="28" t="n">
        <f aca="false">-PMT($H$253/12,amort*12,E254)</f>
        <v>22832.6791437606</v>
      </c>
      <c r="K254" s="28" t="n">
        <f aca="false">-PMT($J$253/12,amort*12,G254)</f>
        <v>17082.962397213</v>
      </c>
    </row>
    <row r="255" customFormat="false" ht="15" hidden="false" customHeight="false" outlineLevel="0" collapsed="false">
      <c r="B255" s="13" t="s">
        <v>217</v>
      </c>
      <c r="C255" s="28" t="n">
        <f aca="false">-FV($H$253/12,12*C$3,-$I$254,$E$254)-FV($J$253/12,12*C$3,-$K$254,$G$254)</f>
        <v>5943060</v>
      </c>
      <c r="D255" s="28" t="n">
        <f aca="false">-FV($H$253/12,12*D$3,-$I$254,$E$254)-FV($J$253/12,12*D$3,-$K$254,$G$254)</f>
        <v>5843921.79938139</v>
      </c>
      <c r="E255" s="28" t="n">
        <f aca="false">-FV($H$253/12,12*E$3,-$I$254,$E$254)-FV($J$253/12,12*E$3,-$K$254,$G$254)</f>
        <v>5738227.05011412</v>
      </c>
      <c r="F255" s="28" t="n">
        <f aca="false">-FV($H$253/12,12*F$3,-$I$254,$E$254)-FV($J$253/12,12*F$3,-$K$254,$G$254)</f>
        <v>5625540.69233465</v>
      </c>
      <c r="G255" s="28" t="n">
        <f aca="false">-FV($H$253/12,12*G$3,-$I$254,$E$254)-FV($J$253/12,12*G$3,-$K$254,$G$254)</f>
        <v>5505398.70351075</v>
      </c>
      <c r="H255" s="28" t="n">
        <f aca="false">-FV($H$253/12,12*H$3,-$I$254,$E$254)-FV($J$253/12,12*H$3,-$K$254,$G$254)</f>
        <v>5377306.16419568</v>
      </c>
      <c r="I255" s="28" t="n">
        <f aca="false">-FV($H$253/12,12*I$3,-$I$254,$E$254)-FV($J$253/12,12*I$3,-$K$254,$G$254)</f>
        <v>5240735.19420532</v>
      </c>
      <c r="J255" s="28" t="n">
        <f aca="false">-FV($H$253/12,12*J$3,-$I$254,$E$254)-FV($J$253/12,12*J$3,-$K$254,$G$254)</f>
        <v>5095122.75051183</v>
      </c>
      <c r="K255" s="28" t="n">
        <f aca="false">-FV($H$253/12,12*K$3,-$I$254,$E$254)-FV($J$253/12,12*K$3,-$K$254,$G$254)</f>
        <v>4939868.2775606</v>
      </c>
      <c r="L255" s="28" t="n">
        <f aca="false">-FV($H$253/12,12*L$3,-$I$254,$E$254)-FV($J$253/12,12*L$3,-$K$254,$G$254)</f>
        <v>4774331.20009117</v>
      </c>
      <c r="M255" s="28" t="n">
        <f aca="false">-FV($H$253/12,12*M$3,-$I$254,$E$254)-FV($J$253/12,12*M$3,-$K$254,$G$254)</f>
        <v>4597828.24787401</v>
      </c>
    </row>
    <row r="256" customFormat="false" ht="15" hidden="false" customHeight="false" outlineLevel="0" collapsed="false">
      <c r="B256" s="13" t="s">
        <v>169</v>
      </c>
      <c r="C256" s="28" t="n">
        <v>0</v>
      </c>
      <c r="D256" s="28" t="n">
        <f aca="false">(($I$254+$K$254)*12)-(C255-D255)</f>
        <v>379849.49787307</v>
      </c>
      <c r="E256" s="28" t="n">
        <f aca="false">(($I$254+$K$254)*12)-(D255-E255)</f>
        <v>373292.949224413</v>
      </c>
      <c r="F256" s="28" t="n">
        <f aca="false">(($I$254+$K$254)*12)-(E255-F255)</f>
        <v>366301.340712219</v>
      </c>
      <c r="G256" s="28" t="n">
        <f aca="false">(($I$254+$K$254)*12)-(F255-G255)</f>
        <v>358845.709667784</v>
      </c>
      <c r="H256" s="28" t="n">
        <f aca="false">(($I$254+$K$254)*12)-(G255-H255)</f>
        <v>350895.159176608</v>
      </c>
      <c r="I256" s="28" t="n">
        <f aca="false">(($I$254+$K$254)*12)-(H255-I255)</f>
        <v>342416.728501326</v>
      </c>
      <c r="J256" s="28" t="n">
        <f aca="false">(($I$254+$K$254)*12)-(I255-J255)</f>
        <v>333375.254798194</v>
      </c>
      <c r="K256" s="28" t="n">
        <f aca="false">(($I$254+$K$254)*12)-(J255-K255)</f>
        <v>323733.225540452</v>
      </c>
      <c r="L256" s="28" t="n">
        <f aca="false">(($I$254+$K$254)*12)-(K255-L255)</f>
        <v>313450.621022258</v>
      </c>
      <c r="M256" s="28" t="n">
        <f aca="false">(($I$254+$K$254)*12)-(L255-M255)</f>
        <v>302484.746274518</v>
      </c>
    </row>
    <row r="257" customFormat="false" ht="15" hidden="false" customHeight="false" outlineLevel="0" collapsed="false">
      <c r="B257" s="13" t="s">
        <v>171</v>
      </c>
      <c r="C257" s="28" t="n">
        <v>0</v>
      </c>
      <c r="D257" s="28" t="n">
        <f aca="false">(($D$253*sf*(1+close)*bldg_share+base*sf)/bldg_life)+IF(D$3=1,fit*sf*bonus,0)+fit*sf*(1-bonus)/15</f>
        <v>2816794.87179487</v>
      </c>
      <c r="E257" s="28" t="n">
        <f aca="false">(($D$253*sf*(1+close)*bldg_share+base*sf)/bldg_life)+IF(E$3=1,fit*sf*bonus,0)+fit*sf*(1-bonus)/15</f>
        <v>81394.8717948718</v>
      </c>
      <c r="F257" s="28" t="n">
        <f aca="false">(($D$253*sf*(1+close)*bldg_share+base*sf)/bldg_life)+IF(F$3=1,fit*sf*bonus,0)+fit*sf*(1-bonus)/15</f>
        <v>81394.8717948718</v>
      </c>
      <c r="G257" s="28" t="n">
        <f aca="false">(($D$253*sf*(1+close)*bldg_share+base*sf)/bldg_life)+IF(G$3=1,fit*sf*bonus,0)+fit*sf*(1-bonus)/15</f>
        <v>81394.8717948718</v>
      </c>
      <c r="H257" s="28" t="n">
        <f aca="false">(($D$253*sf*(1+close)*bldg_share+base*sf)/bldg_life)+IF(H$3=1,fit*sf*bonus,0)+fit*sf*(1-bonus)/15</f>
        <v>81394.8717948718</v>
      </c>
      <c r="I257" s="28" t="n">
        <f aca="false">(($D$253*sf*(1+close)*bldg_share+base*sf)/bldg_life)+IF(I$3=1,fit*sf*bonus,0)+fit*sf*(1-bonus)/15</f>
        <v>81394.8717948718</v>
      </c>
      <c r="J257" s="28" t="n">
        <f aca="false">(($D$253*sf*(1+close)*bldg_share+base*sf)/bldg_life)+IF(J$3=1,fit*sf*bonus,0)+fit*sf*(1-bonus)/15</f>
        <v>81394.8717948718</v>
      </c>
      <c r="K257" s="28" t="n">
        <f aca="false">(($D$253*sf*(1+close)*bldg_share+base*sf)/bldg_life)+IF(K$3=1,fit*sf*bonus,0)+fit*sf*(1-bonus)/15</f>
        <v>81394.8717948718</v>
      </c>
      <c r="L257" s="28" t="n">
        <f aca="false">(($D$253*sf*(1+close)*bldg_share+base*sf)/bldg_life)+IF(L$3=1,fit*sf*bonus,0)+fit*sf*(1-bonus)/15</f>
        <v>81394.8717948718</v>
      </c>
      <c r="M257" s="28" t="n">
        <f aca="false">(($D$253*sf*(1+close)*bldg_share+base*sf)/bldg_life)+IF(M$3=1,fit*sf*bonus,0)+fit*sf*(1-bonus)/15</f>
        <v>81394.8717948718</v>
      </c>
    </row>
    <row r="258" customFormat="false" ht="15" hidden="false" customHeight="false" outlineLevel="0" collapsed="false">
      <c r="B258" s="13" t="s">
        <v>218</v>
      </c>
      <c r="C258" s="28" t="n">
        <f aca="false">-($C$254-$E$254-$G$254)-carry_m/12*($E$254*$H$253+$G$254*$J$253+Model!$D$8*sf)*(1-tax)</f>
        <v>-849619.816686667</v>
      </c>
      <c r="D258" s="28" t="n">
        <f aca="false">-((($I$254+$K$254)*12)+Model!D35)+tax*(D256+Model!D35+D257)</f>
        <v>-73172.7103614158</v>
      </c>
      <c r="E258" s="28" t="n">
        <f aca="false">-((($I$254+$K$254)*12)+Model!E35)+tax*(E256+Model!E35+E257)</f>
        <v>-656947.995462634</v>
      </c>
      <c r="F258" s="28" t="n">
        <f aca="false">-((($I$254+$K$254)*12)+Model!F35)+tax*(F256+Model!F35+F257)</f>
        <v>-666619.575431745</v>
      </c>
      <c r="G258" s="28" t="n">
        <f aca="false">-((($I$254+$K$254)*12)+Model!G35)+tax*(G256+Model!G35+G257)</f>
        <v>-676634.700398072</v>
      </c>
      <c r="H258" s="28" t="n">
        <f aca="false">-((($I$254+$K$254)*12)+Model!H35)+tax*(H256+Model!H35+H257)</f>
        <v>-687007.241721626</v>
      </c>
      <c r="I258" s="28" t="n">
        <f aca="false">-((($I$254+$K$254)*12)+Model!I35)+tax*(I256+Model!I35+I257)</f>
        <v>-697751.725655454</v>
      </c>
      <c r="J258" s="28" t="n">
        <f aca="false">-((($I$254+$K$254)*12)+Model!J35)+tax*(J256+Model!J35+J257)</f>
        <v>-708883.36902989</v>
      </c>
      <c r="K258" s="28" t="n">
        <f aca="false">-((($I$254+$K$254)*12)+Model!K35)+tax*(K256+Model!K35+K257)</f>
        <v>-720418.117087699</v>
      </c>
      <c r="L258" s="28" t="n">
        <f aca="false">-((($I$254+$K$254)*12)+Model!L35)+tax*(L256+Model!L35+L257)</f>
        <v>-732372.683607612</v>
      </c>
      <c r="M258" s="28" t="n">
        <f aca="false">-((($I$254+$K$254)*12)+Model!M35)+tax*(M256+Model!M35+M257)+($F$253*sf*(1-sale_cost)-M255-tax*($F$253*sf*(1-sale_cost)-($C$254-SUM($C257:$M257))))</f>
        <v>-973712.684478963</v>
      </c>
    </row>
    <row r="259" customFormat="false" ht="15" hidden="false" customHeight="false" outlineLevel="0" collapsed="false">
      <c r="B259" s="20" t="s">
        <v>219</v>
      </c>
      <c r="C259" s="28" t="n">
        <f aca="false">C258+NPV(disc,D258:M258)</f>
        <v>-5034629.87391328</v>
      </c>
      <c r="D259" s="29" t="n">
        <f aca="false">C259-Model!$D$68</f>
        <v>480636.99168143</v>
      </c>
    </row>
    <row r="261" customFormat="false" ht="15" hidden="false" customHeight="false" outlineLevel="0" collapsed="false">
      <c r="B261" s="20" t="s">
        <v>251</v>
      </c>
      <c r="C261" s="13" t="s">
        <v>212</v>
      </c>
      <c r="D261" s="26" t="n">
        <f aca="false">Sensitivity!$B$16</f>
        <v>170</v>
      </c>
      <c r="E261" s="13" t="s">
        <v>213</v>
      </c>
      <c r="F261" s="26" t="n">
        <f aca="false">user_val*(1+exit_grow)^10</f>
        <v>243.216063397308</v>
      </c>
      <c r="G261" s="13" t="s">
        <v>214</v>
      </c>
      <c r="H261" s="27" t="n">
        <f aca="false">bank_rate+Sensitivity!E$14</f>
        <v>0.0726</v>
      </c>
      <c r="I261" s="13" t="s">
        <v>215</v>
      </c>
      <c r="J261" s="27" t="n">
        <f aca="false">cdc_rate+Sensitivity!E$14</f>
        <v>0.0654</v>
      </c>
    </row>
    <row r="262" customFormat="false" ht="15" hidden="false" customHeight="false" outlineLevel="0" collapsed="false">
      <c r="B262" s="13" t="s">
        <v>216</v>
      </c>
      <c r="C262" s="28" t="n">
        <f aca="false">$D$261*sf*(1+close)+base*sf+fit*sf</f>
        <v>6603400</v>
      </c>
      <c r="E262" s="28" t="n">
        <f aca="false">C262*bank_pct</f>
        <v>3301700</v>
      </c>
      <c r="G262" s="28" t="n">
        <f aca="false">C262*cdc_pct</f>
        <v>2641360</v>
      </c>
      <c r="I262" s="28" t="n">
        <f aca="false">-PMT($H$261/12,amort*12,E262)</f>
        <v>23886.1899678889</v>
      </c>
      <c r="K262" s="28" t="n">
        <f aca="false">-PMT($J$261/12,amort*12,G262)</f>
        <v>17900.7278347449</v>
      </c>
    </row>
    <row r="263" customFormat="false" ht="15" hidden="false" customHeight="false" outlineLevel="0" collapsed="false">
      <c r="B263" s="13" t="s">
        <v>217</v>
      </c>
      <c r="C263" s="28" t="n">
        <f aca="false">-FV($H$261/12,12*C$3,-$I$262,$E$262)-FV($J$261/12,12*C$3,-$K$262,$G$262)</f>
        <v>5943060</v>
      </c>
      <c r="D263" s="28" t="n">
        <f aca="false">-FV($H$261/12,12*D$3,-$I$262,$E$262)-FV($J$261/12,12*D$3,-$K$262,$G$262)</f>
        <v>5851187.74926959</v>
      </c>
      <c r="E263" s="28" t="n">
        <f aca="false">-FV($H$261/12,12*E$3,-$I$262,$E$262)-FV($J$261/12,12*E$3,-$K$262,$G$262)</f>
        <v>5752751.51707287</v>
      </c>
      <c r="F263" s="28" t="n">
        <f aca="false">-FV($H$261/12,12*F$3,-$I$262,$E$262)-FV($J$261/12,12*F$3,-$K$262,$G$262)</f>
        <v>5647280.98126281</v>
      </c>
      <c r="G263" s="28" t="n">
        <f aca="false">-FV($H$261/12,12*G$3,-$I$262,$E$262)-FV($J$261/12,12*G$3,-$K$262,$G$262)</f>
        <v>5534272.02484637</v>
      </c>
      <c r="H263" s="28" t="n">
        <f aca="false">-FV($H$261/12,12*H$3,-$I$262,$E$262)-FV($J$261/12,12*H$3,-$K$262,$G$262)</f>
        <v>5413184.3009349</v>
      </c>
      <c r="I263" s="28" t="n">
        <f aca="false">-FV($H$261/12,12*I$3,-$I$262,$E$262)-FV($J$261/12,12*I$3,-$K$262,$G$262)</f>
        <v>5283438.62176591</v>
      </c>
      <c r="J263" s="28" t="n">
        <f aca="false">-FV($H$261/12,12*J$3,-$I$262,$E$262)-FV($J$261/12,12*J$3,-$K$262,$G$262)</f>
        <v>5144414.15905225</v>
      </c>
      <c r="K263" s="28" t="n">
        <f aca="false">-FV($H$261/12,12*K$3,-$I$262,$E$262)-FV($J$261/12,12*K$3,-$K$262,$G$262)</f>
        <v>4995445.44198932</v>
      </c>
      <c r="L263" s="28" t="n">
        <f aca="false">-FV($H$261/12,12*L$3,-$I$262,$E$262)-FV($J$261/12,12*L$3,-$K$262,$G$262)</f>
        <v>4835819.13825822</v>
      </c>
      <c r="M263" s="28" t="n">
        <f aca="false">-FV($H$261/12,12*M$3,-$I$262,$E$262)-FV($J$261/12,12*M$3,-$K$262,$G$262)</f>
        <v>4664770.60229754</v>
      </c>
    </row>
    <row r="264" customFormat="false" ht="15" hidden="false" customHeight="false" outlineLevel="0" collapsed="false">
      <c r="B264" s="13" t="s">
        <v>169</v>
      </c>
      <c r="C264" s="28" t="n">
        <v>0</v>
      </c>
      <c r="D264" s="28" t="n">
        <f aca="false">(($I$262+$K$262)*12)-(C263-D263)</f>
        <v>409570.762901198</v>
      </c>
      <c r="E264" s="28" t="n">
        <f aca="false">(($I$262+$K$262)*12)-(D263-E263)</f>
        <v>403006.781434879</v>
      </c>
      <c r="F264" s="28" t="n">
        <f aca="false">(($I$262+$K$262)*12)-(E263-F263)</f>
        <v>395972.47782155</v>
      </c>
      <c r="G264" s="28" t="n">
        <f aca="false">(($I$262+$K$262)*12)-(F263-G263)</f>
        <v>388434.057215163</v>
      </c>
      <c r="H264" s="28" t="n">
        <f aca="false">(($I$262+$K$262)*12)-(G263-H263)</f>
        <v>380355.289720131</v>
      </c>
      <c r="I264" s="28" t="n">
        <f aca="false">(($I$262+$K$262)*12)-(H263-I263)</f>
        <v>371697.334462618</v>
      </c>
      <c r="J264" s="28" t="n">
        <f aca="false">(($I$262+$K$262)*12)-(I263-J263)</f>
        <v>362418.550917943</v>
      </c>
      <c r="K264" s="28" t="n">
        <f aca="false">(($I$262+$K$262)*12)-(J263-K263)</f>
        <v>352474.296568672</v>
      </c>
      <c r="L264" s="28" t="n">
        <f aca="false">(($I$262+$K$262)*12)-(K263-L263)</f>
        <v>341816.709900509</v>
      </c>
      <c r="M264" s="28" t="n">
        <f aca="false">(($I$262+$K$262)*12)-(L263-M263)</f>
        <v>330394.477670929</v>
      </c>
    </row>
    <row r="265" customFormat="false" ht="15" hidden="false" customHeight="false" outlineLevel="0" collapsed="false">
      <c r="B265" s="13" t="s">
        <v>171</v>
      </c>
      <c r="C265" s="28" t="n">
        <v>0</v>
      </c>
      <c r="D265" s="28" t="n">
        <f aca="false">(($D$261*sf*(1+close)*bldg_share+base*sf)/bldg_life)+IF(D$3=1,fit*sf*bonus,0)+fit*sf*(1-bonus)/15</f>
        <v>2816794.87179487</v>
      </c>
      <c r="E265" s="28" t="n">
        <f aca="false">(($D$261*sf*(1+close)*bldg_share+base*sf)/bldg_life)+IF(E$3=1,fit*sf*bonus,0)+fit*sf*(1-bonus)/15</f>
        <v>81394.8717948718</v>
      </c>
      <c r="F265" s="28" t="n">
        <f aca="false">(($D$261*sf*(1+close)*bldg_share+base*sf)/bldg_life)+IF(F$3=1,fit*sf*bonus,0)+fit*sf*(1-bonus)/15</f>
        <v>81394.8717948718</v>
      </c>
      <c r="G265" s="28" t="n">
        <f aca="false">(($D$261*sf*(1+close)*bldg_share+base*sf)/bldg_life)+IF(G$3=1,fit*sf*bonus,0)+fit*sf*(1-bonus)/15</f>
        <v>81394.8717948718</v>
      </c>
      <c r="H265" s="28" t="n">
        <f aca="false">(($D$261*sf*(1+close)*bldg_share+base*sf)/bldg_life)+IF(H$3=1,fit*sf*bonus,0)+fit*sf*(1-bonus)/15</f>
        <v>81394.8717948718</v>
      </c>
      <c r="I265" s="28" t="n">
        <f aca="false">(($D$261*sf*(1+close)*bldg_share+base*sf)/bldg_life)+IF(I$3=1,fit*sf*bonus,0)+fit*sf*(1-bonus)/15</f>
        <v>81394.8717948718</v>
      </c>
      <c r="J265" s="28" t="n">
        <f aca="false">(($D$261*sf*(1+close)*bldg_share+base*sf)/bldg_life)+IF(J$3=1,fit*sf*bonus,0)+fit*sf*(1-bonus)/15</f>
        <v>81394.8717948718</v>
      </c>
      <c r="K265" s="28" t="n">
        <f aca="false">(($D$261*sf*(1+close)*bldg_share+base*sf)/bldg_life)+IF(K$3=1,fit*sf*bonus,0)+fit*sf*(1-bonus)/15</f>
        <v>81394.8717948718</v>
      </c>
      <c r="L265" s="28" t="n">
        <f aca="false">(($D$261*sf*(1+close)*bldg_share+base*sf)/bldg_life)+IF(L$3=1,fit*sf*bonus,0)+fit*sf*(1-bonus)/15</f>
        <v>81394.8717948718</v>
      </c>
      <c r="M265" s="28" t="n">
        <f aca="false">(($D$261*sf*(1+close)*bldg_share+base*sf)/bldg_life)+IF(M$3=1,fit*sf*bonus,0)+fit*sf*(1-bonus)/15</f>
        <v>81394.8717948718</v>
      </c>
    </row>
    <row r="266" customFormat="false" ht="15" hidden="false" customHeight="false" outlineLevel="0" collapsed="false">
      <c r="B266" s="13" t="s">
        <v>218</v>
      </c>
      <c r="C266" s="28" t="n">
        <f aca="false">-($C$262-$E$262-$G$262)-carry_m/12*($E$262*$H$261+$G$262*$J$261+Model!$D$8*sf)*(1-tax)</f>
        <v>-857444.845686667</v>
      </c>
      <c r="D266" s="28" t="n">
        <f aca="false">-((($I$262+$K$262)*12)+Model!D35)+tax*(D264+Model!D35+D265)</f>
        <v>-89386.5598454303</v>
      </c>
      <c r="E266" s="28" t="n">
        <f aca="false">-((($I$262+$K$262)*12)+Model!E35)+tax*(E264+Model!E35+E265)</f>
        <v>-673163.405838357</v>
      </c>
      <c r="F266" s="28" t="n">
        <f aca="false">-((($I$262+$K$262)*12)+Model!F35)+tax*(F264+Model!F35+F265)</f>
        <v>-682843.951778706</v>
      </c>
      <c r="G266" s="28" t="n">
        <f aca="false">-((($I$262+$K$262)*12)+Model!G35)+tax*(G264+Model!G35+G265)</f>
        <v>-692876.462553044</v>
      </c>
      <c r="H266" s="28" t="n">
        <f aca="false">-((($I$262+$K$262)*12)+Model!H35)+tax*(H264+Model!H35+H265)</f>
        <v>-703275.929447407</v>
      </c>
      <c r="I266" s="28" t="n">
        <f aca="false">-((($I$262+$K$262)*12)+Model!I35)+tax*(I264+Model!I35+I265)</f>
        <v>-714058.113543504</v>
      </c>
      <c r="J266" s="28" t="n">
        <f aca="false">-((($I$262+$K$262)*12)+Model!J35)+tax*(J264+Model!J35+J265)</f>
        <v>-725239.591984664</v>
      </c>
      <c r="K266" s="28" t="n">
        <f aca="false">-((($I$262+$K$262)*12)+Model!K35)+tax*(K264+Model!K35+K265)</f>
        <v>-736837.807311694</v>
      </c>
      <c r="L266" s="28" t="n">
        <f aca="false">-((($I$262+$K$262)*12)+Model!L35)+tax*(L264+Model!L35+L265)</f>
        <v>-748871.120083101</v>
      </c>
      <c r="M266" s="28" t="n">
        <f aca="false">-((($I$262+$K$262)*12)+Model!M35)+tax*(M264+Model!M35+M265)+($F$261*sf*(1-sale_cost)-M263-tax*($F$261*sf*(1-sale_cost)-($C$262-SUM($C265:$M265))))</f>
        <v>-1057249.31044917</v>
      </c>
    </row>
    <row r="267" customFormat="false" ht="15" hidden="false" customHeight="false" outlineLevel="0" collapsed="false">
      <c r="B267" s="20" t="s">
        <v>219</v>
      </c>
      <c r="C267" s="28" t="n">
        <f aca="false">C266+NPV(disc,D266:M266)</f>
        <v>-5182897.11995776</v>
      </c>
      <c r="D267" s="29" t="n">
        <f aca="false">C267-Model!$D$68</f>
        <v>332369.745636942</v>
      </c>
    </row>
    <row r="269" customFormat="false" ht="15" hidden="false" customHeight="false" outlineLevel="0" collapsed="false">
      <c r="B269" s="20" t="s">
        <v>252</v>
      </c>
      <c r="C269" s="13" t="s">
        <v>212</v>
      </c>
      <c r="D269" s="26" t="n">
        <f aca="false">Sensitivity!$B$16</f>
        <v>170</v>
      </c>
      <c r="E269" s="13" t="s">
        <v>213</v>
      </c>
      <c r="F269" s="26" t="n">
        <f aca="false">user_val*(1+exit_grow)^10</f>
        <v>243.216063397308</v>
      </c>
      <c r="G269" s="13" t="s">
        <v>214</v>
      </c>
      <c r="H269" s="27" t="n">
        <f aca="false">bank_rate+Sensitivity!F$14</f>
        <v>0.0776</v>
      </c>
      <c r="I269" s="13" t="s">
        <v>215</v>
      </c>
      <c r="J269" s="27" t="n">
        <f aca="false">cdc_rate+Sensitivity!F$14</f>
        <v>0.0704</v>
      </c>
    </row>
    <row r="270" customFormat="false" ht="15" hidden="false" customHeight="false" outlineLevel="0" collapsed="false">
      <c r="B270" s="13" t="s">
        <v>216</v>
      </c>
      <c r="C270" s="28" t="n">
        <f aca="false">$D$269*sf*(1+close)+base*sf+fit*sf</f>
        <v>6603400</v>
      </c>
      <c r="E270" s="28" t="n">
        <f aca="false">C270*bank_pct</f>
        <v>3301700</v>
      </c>
      <c r="G270" s="28" t="n">
        <f aca="false">C270*cdc_pct</f>
        <v>2641360</v>
      </c>
      <c r="I270" s="28" t="n">
        <f aca="false">-PMT($H$269/12,amort*12,E270)</f>
        <v>24960.3701399628</v>
      </c>
      <c r="K270" s="28" t="n">
        <f aca="false">-PMT($J$269/12,amort*12,G270)</f>
        <v>18736.0370440188</v>
      </c>
    </row>
    <row r="271" customFormat="false" ht="15" hidden="false" customHeight="false" outlineLevel="0" collapsed="false">
      <c r="B271" s="13" t="s">
        <v>217</v>
      </c>
      <c r="C271" s="28" t="n">
        <f aca="false">-FV($H$269/12,12*C$3,-$I$270,$E$270)-FV($J$269/12,12*C$3,-$K$270,$G$270)</f>
        <v>5943060</v>
      </c>
      <c r="D271" s="28" t="n">
        <f aca="false">-FV($H$269/12,12*D$3,-$I$270,$E$270)-FV($J$269/12,12*D$3,-$K$270,$G$270)</f>
        <v>5858013.1907022</v>
      </c>
      <c r="E271" s="28" t="n">
        <f aca="false">-FV($H$269/12,12*E$3,-$I$270,$E$270)-FV($J$269/12,12*E$3,-$K$270,$G$270)</f>
        <v>5766436.27162602</v>
      </c>
      <c r="F271" s="28" t="n">
        <f aca="false">-FV($H$269/12,12*F$3,-$I$270,$E$270)-FV($J$269/12,12*F$3,-$K$270,$G$270)</f>
        <v>5667826.58643781</v>
      </c>
      <c r="G271" s="28" t="n">
        <f aca="false">-FV($H$269/12,12*G$3,-$I$270,$E$270)-FV($J$269/12,12*G$3,-$K$270,$G$270)</f>
        <v>5561642.69093862</v>
      </c>
      <c r="H271" s="28" t="n">
        <f aca="false">-FV($H$269/12,12*H$3,-$I$270,$E$270)-FV($J$269/12,12*H$3,-$K$270,$G$270)</f>
        <v>5447301.35268999</v>
      </c>
      <c r="I271" s="28" t="n">
        <f aca="false">-FV($H$269/12,12*I$3,-$I$270,$E$270)-FV($J$269/12,12*I$3,-$K$270,$G$270)</f>
        <v>5324174.31799886</v>
      </c>
      <c r="J271" s="28" t="n">
        <f aca="false">-FV($H$269/12,12*J$3,-$I$270,$E$270)-FV($J$269/12,12*J$3,-$K$270,$G$270)</f>
        <v>5191584.82818173</v>
      </c>
      <c r="K271" s="28" t="n">
        <f aca="false">-FV($H$269/12,12*K$3,-$I$270,$E$270)-FV($J$269/12,12*K$3,-$K$270,$G$270)</f>
        <v>5048803.86561961</v>
      </c>
      <c r="L271" s="28" t="n">
        <f aca="false">-FV($H$269/12,12*L$3,-$I$270,$E$270)-FV($J$269/12,12*L$3,-$K$270,$G$270)</f>
        <v>4895046.1085974</v>
      </c>
      <c r="M271" s="28" t="n">
        <f aca="false">-FV($H$269/12,12*M$3,-$I$270,$E$270)-FV($J$269/12,12*M$3,-$K$270,$G$270)</f>
        <v>4729465.57228432</v>
      </c>
    </row>
    <row r="272" customFormat="false" ht="15" hidden="false" customHeight="false" outlineLevel="0" collapsed="false">
      <c r="B272" s="13" t="s">
        <v>169</v>
      </c>
      <c r="C272" s="28" t="n">
        <v>0</v>
      </c>
      <c r="D272" s="28" t="n">
        <f aca="false">(($I$270+$K$270)*12)-(C271-D271)</f>
        <v>439310.076909983</v>
      </c>
      <c r="E272" s="28" t="n">
        <f aca="false">(($I$270+$K$270)*12)-(D271-E271)</f>
        <v>432779.967131594</v>
      </c>
      <c r="F272" s="28" t="n">
        <f aca="false">(($I$270+$K$270)*12)-(E271-F271)</f>
        <v>425747.20101957</v>
      </c>
      <c r="G272" s="28" t="n">
        <f aca="false">(($I$270+$K$270)*12)-(F271-G271)</f>
        <v>418172.990708595</v>
      </c>
      <c r="H272" s="28" t="n">
        <f aca="false">(($I$270+$K$270)*12)-(G271-H271)</f>
        <v>410015.547959145</v>
      </c>
      <c r="I272" s="28" t="n">
        <f aca="false">(($I$270+$K$270)*12)-(H271-I271)</f>
        <v>401229.851516647</v>
      </c>
      <c r="J272" s="28" t="n">
        <f aca="false">(($I$270+$K$270)*12)-(I271-J271)</f>
        <v>391767.396390648</v>
      </c>
      <c r="K272" s="28" t="n">
        <f aca="false">(($I$270+$K$270)*12)-(J271-K271)</f>
        <v>381575.923645667</v>
      </c>
      <c r="L272" s="28" t="n">
        <f aca="false">(($I$270+$K$270)*12)-(K271-L271)</f>
        <v>370599.129185562</v>
      </c>
      <c r="M272" s="28" t="n">
        <f aca="false">(($I$270+$K$270)*12)-(L271-M271)</f>
        <v>358776.349894702</v>
      </c>
    </row>
    <row r="273" customFormat="false" ht="15" hidden="false" customHeight="false" outlineLevel="0" collapsed="false">
      <c r="B273" s="13" t="s">
        <v>171</v>
      </c>
      <c r="C273" s="28" t="n">
        <v>0</v>
      </c>
      <c r="D273" s="28" t="n">
        <f aca="false">(($D$269*sf*(1+close)*bldg_share+base*sf)/bldg_life)+IF(D$3=1,fit*sf*bonus,0)+fit*sf*(1-bonus)/15</f>
        <v>2816794.87179487</v>
      </c>
      <c r="E273" s="28" t="n">
        <f aca="false">(($D$269*sf*(1+close)*bldg_share+base*sf)/bldg_life)+IF(E$3=1,fit*sf*bonus,0)+fit*sf*(1-bonus)/15</f>
        <v>81394.8717948718</v>
      </c>
      <c r="F273" s="28" t="n">
        <f aca="false">(($D$269*sf*(1+close)*bldg_share+base*sf)/bldg_life)+IF(F$3=1,fit*sf*bonus,0)+fit*sf*(1-bonus)/15</f>
        <v>81394.8717948718</v>
      </c>
      <c r="G273" s="28" t="n">
        <f aca="false">(($D$269*sf*(1+close)*bldg_share+base*sf)/bldg_life)+IF(G$3=1,fit*sf*bonus,0)+fit*sf*(1-bonus)/15</f>
        <v>81394.8717948718</v>
      </c>
      <c r="H273" s="28" t="n">
        <f aca="false">(($D$269*sf*(1+close)*bldg_share+base*sf)/bldg_life)+IF(H$3=1,fit*sf*bonus,0)+fit*sf*(1-bonus)/15</f>
        <v>81394.8717948718</v>
      </c>
      <c r="I273" s="28" t="n">
        <f aca="false">(($D$269*sf*(1+close)*bldg_share+base*sf)/bldg_life)+IF(I$3=1,fit*sf*bonus,0)+fit*sf*(1-bonus)/15</f>
        <v>81394.8717948718</v>
      </c>
      <c r="J273" s="28" t="n">
        <f aca="false">(($D$269*sf*(1+close)*bldg_share+base*sf)/bldg_life)+IF(J$3=1,fit*sf*bonus,0)+fit*sf*(1-bonus)/15</f>
        <v>81394.8717948718</v>
      </c>
      <c r="K273" s="28" t="n">
        <f aca="false">(($D$269*sf*(1+close)*bldg_share+base*sf)/bldg_life)+IF(K$3=1,fit*sf*bonus,0)+fit*sf*(1-bonus)/15</f>
        <v>81394.8717948718</v>
      </c>
      <c r="L273" s="28" t="n">
        <f aca="false">(($D$269*sf*(1+close)*bldg_share+base*sf)/bldg_life)+IF(L$3=1,fit*sf*bonus,0)+fit*sf*(1-bonus)/15</f>
        <v>81394.8717948718</v>
      </c>
      <c r="M273" s="28" t="n">
        <f aca="false">(($D$269*sf*(1+close)*bldg_share+base*sf)/bldg_life)+IF(M$3=1,fit*sf*bonus,0)+fit*sf*(1-bonus)/15</f>
        <v>81394.8717948718</v>
      </c>
    </row>
    <row r="274" customFormat="false" ht="15" hidden="false" customHeight="false" outlineLevel="0" collapsed="false">
      <c r="B274" s="13" t="s">
        <v>218</v>
      </c>
      <c r="C274" s="28" t="n">
        <f aca="false">-($C$270-$E$270-$G$270)-carry_m/12*($E$270*$H$269+$G$270*$J$269+Model!$D$8*sf)*(1-tax)</f>
        <v>-865269.874686667</v>
      </c>
      <c r="D274" s="28" t="n">
        <f aca="false">-((($I$270+$K$270)*12)+Model!D35)+tax*(D272+Model!D35+D273)</f>
        <v>-106055.17647976</v>
      </c>
      <c r="E274" s="28" t="n">
        <f aca="false">-((($I$270+$K$270)*12)+Model!E35)+tax*(E272+Model!E35+E273)</f>
        <v>-689824.909418222</v>
      </c>
      <c r="F274" s="28" t="n">
        <f aca="false">-((($I$270+$K$270)*12)+Model!F35)+tax*(F272+Model!F35+F273)</f>
        <v>-699505.132483297</v>
      </c>
      <c r="G274" s="28" t="n">
        <f aca="false">-((($I$270+$K$270)*12)+Model!G35)+tax*(G272+Model!G35+G273)</f>
        <v>-709545.159095598</v>
      </c>
      <c r="H274" s="28" t="n">
        <f aca="false">-((($I$270+$K$270)*12)+Model!H35)+tax*(H272+Model!H35+H273)</f>
        <v>-719961.147793389</v>
      </c>
      <c r="I274" s="28" t="n">
        <f aca="false">-((($I$270+$K$270)*12)+Model!I35)+tax*(I272+Model!I35+I273)</f>
        <v>-730770.157538332</v>
      </c>
      <c r="J274" s="28" t="n">
        <f aca="false">-((($I$270+$K$270)*12)+Model!J35)+tax*(J272+Model!J35+J273)</f>
        <v>-741990.207011571</v>
      </c>
      <c r="K274" s="28" t="n">
        <f aca="false">-((($I$270+$K$270)*12)+Model!K35)+tax*(K272+Model!K35+K273)</f>
        <v>-753640.338201699</v>
      </c>
      <c r="L274" s="28" t="n">
        <f aca="false">-((($I$270+$K$270)*12)+Model!L35)+tax*(L272+Model!L35+L273)</f>
        <v>-765740.684609415</v>
      </c>
      <c r="M274" s="28" t="n">
        <f aca="false">-((($I$270+$K$270)*12)+Model!M35)+tax*(M272+Model!M35+M273)+($F$269*sf*(1-sale_cost)-M271-tax*($F$269*sf*(1-sale_cost)-($C$270-SUM($C273:$M273))))</f>
        <v>-1138897.95984513</v>
      </c>
    </row>
    <row r="275" customFormat="false" ht="15" hidden="false" customHeight="false" outlineLevel="0" collapsed="false">
      <c r="B275" s="20" t="s">
        <v>219</v>
      </c>
      <c r="C275" s="28" t="n">
        <f aca="false">C274+NPV(disc,D274:M274)</f>
        <v>-5332915.69337401</v>
      </c>
      <c r="D275" s="29" t="n">
        <f aca="false">C275-Model!$D$68</f>
        <v>182351.172220694</v>
      </c>
    </row>
    <row r="277" customFormat="false" ht="15" hidden="false" customHeight="false" outlineLevel="0" collapsed="false">
      <c r="B277" s="20" t="s">
        <v>253</v>
      </c>
      <c r="C277" s="13" t="s">
        <v>212</v>
      </c>
      <c r="D277" s="26" t="n">
        <f aca="false">Sensitivity!$B$16</f>
        <v>170</v>
      </c>
      <c r="E277" s="13" t="s">
        <v>213</v>
      </c>
      <c r="F277" s="26" t="n">
        <f aca="false">user_val*(1+exit_grow)^10</f>
        <v>243.216063397308</v>
      </c>
      <c r="G277" s="13" t="s">
        <v>214</v>
      </c>
      <c r="H277" s="27" t="n">
        <f aca="false">bank_rate+Sensitivity!G$14</f>
        <v>0.0826</v>
      </c>
      <c r="I277" s="13" t="s">
        <v>215</v>
      </c>
      <c r="J277" s="27" t="n">
        <f aca="false">cdc_rate+Sensitivity!G$14</f>
        <v>0.0754</v>
      </c>
    </row>
    <row r="278" customFormat="false" ht="15" hidden="false" customHeight="false" outlineLevel="0" collapsed="false">
      <c r="B278" s="13" t="s">
        <v>216</v>
      </c>
      <c r="C278" s="28" t="n">
        <f aca="false">$D$277*sf*(1+close)+base*sf+fit*sf</f>
        <v>6603400</v>
      </c>
      <c r="E278" s="28" t="n">
        <f aca="false">C278*bank_pct</f>
        <v>3301700</v>
      </c>
      <c r="G278" s="28" t="n">
        <f aca="false">C278*cdc_pct</f>
        <v>2641360</v>
      </c>
      <c r="I278" s="28" t="n">
        <f aca="false">-PMT($H$277/12,amort*12,E278)</f>
        <v>26054.3251583665</v>
      </c>
      <c r="K278" s="28" t="n">
        <f aca="false">-PMT($J$277/12,amort*12,G278)</f>
        <v>19588.1931527512</v>
      </c>
    </row>
    <row r="279" customFormat="false" ht="15" hidden="false" customHeight="false" outlineLevel="0" collapsed="false">
      <c r="B279" s="13" t="s">
        <v>217</v>
      </c>
      <c r="C279" s="28" t="n">
        <f aca="false">-FV($H$277/12,12*C$3,-$I$278,$E$278)-FV($J$277/12,12*C$3,-$K$278,$G$278)</f>
        <v>5943060</v>
      </c>
      <c r="D279" s="28" t="n">
        <f aca="false">-FV($H$277/12,12*D$3,-$I$278,$E$278)-FV($J$277/12,12*D$3,-$K$278,$G$278)</f>
        <v>5864414.78386564</v>
      </c>
      <c r="E279" s="28" t="n">
        <f aca="false">-FV($H$277/12,12*E$3,-$I$278,$E$278)-FV($J$277/12,12*E$3,-$K$278,$G$278)</f>
        <v>5779309.4410168</v>
      </c>
      <c r="F279" s="28" t="n">
        <f aca="false">-FV($H$277/12,12*F$3,-$I$278,$E$278)-FV($J$277/12,12*F$3,-$K$278,$G$278)</f>
        <v>5687212.14551203</v>
      </c>
      <c r="G279" s="28" t="n">
        <f aca="false">-FV($H$277/12,12*G$3,-$I$278,$E$278)-FV($J$277/12,12*G$3,-$K$278,$G$278)</f>
        <v>5587547.19344426</v>
      </c>
      <c r="H279" s="28" t="n">
        <f aca="false">-FV($H$277/12,12*H$3,-$I$278,$E$278)-FV($J$277/12,12*H$3,-$K$278,$G$278)</f>
        <v>5479691.37502908</v>
      </c>
      <c r="I279" s="28" t="n">
        <f aca="false">-FV($H$277/12,12*I$3,-$I$278,$E$278)-FV($J$277/12,12*I$3,-$K$278,$G$278)</f>
        <v>5362970.04609828</v>
      </c>
      <c r="J279" s="28" t="n">
        <f aca="false">-FV($H$277/12,12*J$3,-$I$278,$E$278)-FV($J$277/12,12*J$3,-$K$278,$G$278)</f>
        <v>5236652.8740414</v>
      </c>
      <c r="K279" s="28" t="n">
        <f aca="false">-FV($H$277/12,12*K$3,-$I$278,$E$278)-FV($J$277/12,12*K$3,-$K$278,$G$278)</f>
        <v>5099949.23116165</v>
      </c>
      <c r="L279" s="28" t="n">
        <f aca="false">-FV($H$277/12,12*L$3,-$I$278,$E$278)-FV($J$277/12,12*L$3,-$K$278,$G$278)</f>
        <v>4952003.20616341</v>
      </c>
      <c r="M279" s="28" t="n">
        <f aca="false">-FV($H$277/12,12*M$3,-$I$278,$E$278)-FV($J$277/12,12*M$3,-$K$278,$G$278)</f>
        <v>4791888.20205141</v>
      </c>
    </row>
    <row r="280" customFormat="false" ht="15" hidden="false" customHeight="false" outlineLevel="0" collapsed="false">
      <c r="B280" s="13" t="s">
        <v>169</v>
      </c>
      <c r="C280" s="28" t="n">
        <v>0</v>
      </c>
      <c r="D280" s="28" t="n">
        <f aca="false">(($I$278+$K$278)*12)-(C279-D279)</f>
        <v>469065.003599051</v>
      </c>
      <c r="E280" s="28" t="n">
        <f aca="false">(($I$278+$K$278)*12)-(D279-E279)</f>
        <v>462604.876884578</v>
      </c>
      <c r="F280" s="28" t="n">
        <f aca="false">(($I$278+$K$278)*12)-(E279-F279)</f>
        <v>455612.924228639</v>
      </c>
      <c r="G280" s="28" t="n">
        <f aca="false">(($I$278+$K$278)*12)-(F279-G279)</f>
        <v>448045.267665639</v>
      </c>
      <c r="H280" s="28" t="n">
        <f aca="false">(($I$278+$K$278)*12)-(G279-H279)</f>
        <v>439854.401318233</v>
      </c>
      <c r="I280" s="28" t="n">
        <f aca="false">(($I$278+$K$278)*12)-(H279-I279)</f>
        <v>430988.890802618</v>
      </c>
      <c r="J280" s="28" t="n">
        <f aca="false">(($I$278+$K$278)*12)-(I279-J279)</f>
        <v>421393.047676531</v>
      </c>
      <c r="K280" s="28" t="n">
        <f aca="false">(($I$278+$K$278)*12)-(J279-K279)</f>
        <v>411006.576853668</v>
      </c>
      <c r="L280" s="28" t="n">
        <f aca="false">(($I$278+$K$278)*12)-(K279-L279)</f>
        <v>399764.19473517</v>
      </c>
      <c r="M280" s="28" t="n">
        <f aca="false">(($I$278+$K$278)*12)-(L279-M279)</f>
        <v>387595.215621416</v>
      </c>
    </row>
    <row r="281" customFormat="false" ht="15" hidden="false" customHeight="false" outlineLevel="0" collapsed="false">
      <c r="B281" s="13" t="s">
        <v>171</v>
      </c>
      <c r="C281" s="28" t="n">
        <v>0</v>
      </c>
      <c r="D281" s="28" t="n">
        <f aca="false">(($D$277*sf*(1+close)*bldg_share+base*sf)/bldg_life)+IF(D$3=1,fit*sf*bonus,0)+fit*sf*(1-bonus)/15</f>
        <v>2816794.87179487</v>
      </c>
      <c r="E281" s="28" t="n">
        <f aca="false">(($D$277*sf*(1+close)*bldg_share+base*sf)/bldg_life)+IF(E$3=1,fit*sf*bonus,0)+fit*sf*(1-bonus)/15</f>
        <v>81394.8717948718</v>
      </c>
      <c r="F281" s="28" t="n">
        <f aca="false">(($D$277*sf*(1+close)*bldg_share+base*sf)/bldg_life)+IF(F$3=1,fit*sf*bonus,0)+fit*sf*(1-bonus)/15</f>
        <v>81394.8717948718</v>
      </c>
      <c r="G281" s="28" t="n">
        <f aca="false">(($D$277*sf*(1+close)*bldg_share+base*sf)/bldg_life)+IF(G$3=1,fit*sf*bonus,0)+fit*sf*(1-bonus)/15</f>
        <v>81394.8717948718</v>
      </c>
      <c r="H281" s="28" t="n">
        <f aca="false">(($D$277*sf*(1+close)*bldg_share+base*sf)/bldg_life)+IF(H$3=1,fit*sf*bonus,0)+fit*sf*(1-bonus)/15</f>
        <v>81394.8717948718</v>
      </c>
      <c r="I281" s="28" t="n">
        <f aca="false">(($D$277*sf*(1+close)*bldg_share+base*sf)/bldg_life)+IF(I$3=1,fit*sf*bonus,0)+fit*sf*(1-bonus)/15</f>
        <v>81394.8717948718</v>
      </c>
      <c r="J281" s="28" t="n">
        <f aca="false">(($D$277*sf*(1+close)*bldg_share+base*sf)/bldg_life)+IF(J$3=1,fit*sf*bonus,0)+fit*sf*(1-bonus)/15</f>
        <v>81394.8717948718</v>
      </c>
      <c r="K281" s="28" t="n">
        <f aca="false">(($D$277*sf*(1+close)*bldg_share+base*sf)/bldg_life)+IF(K$3=1,fit*sf*bonus,0)+fit*sf*(1-bonus)/15</f>
        <v>81394.8717948718</v>
      </c>
      <c r="L281" s="28" t="n">
        <f aca="false">(($D$277*sf*(1+close)*bldg_share+base*sf)/bldg_life)+IF(L$3=1,fit*sf*bonus,0)+fit*sf*(1-bonus)/15</f>
        <v>81394.8717948718</v>
      </c>
      <c r="M281" s="28" t="n">
        <f aca="false">(($D$277*sf*(1+close)*bldg_share+base*sf)/bldg_life)+IF(M$3=1,fit*sf*bonus,0)+fit*sf*(1-bonus)/15</f>
        <v>81394.8717948718</v>
      </c>
    </row>
    <row r="282" customFormat="false" ht="15" hidden="false" customHeight="false" outlineLevel="0" collapsed="false">
      <c r="B282" s="13" t="s">
        <v>218</v>
      </c>
      <c r="C282" s="28" t="n">
        <f aca="false">-($C$278-$E$278-$G$278)-carry_m/12*($E$278*$H$277+$G$278*$J$277+Model!$D$8*sf)*(1-tax)</f>
        <v>-873094.903686667</v>
      </c>
      <c r="D282" s="28" t="n">
        <f aca="false">-((($I$278+$K$278)*12)+Model!D35)+tax*(D280+Model!D35+D281)</f>
        <v>-123159.975400689</v>
      </c>
      <c r="E282" s="28" t="n">
        <f aca="false">-((($I$278+$K$278)*12)+Model!E35)+tax*(E280+Model!E35+E281)</f>
        <v>-706915.011895728</v>
      </c>
      <c r="F282" s="28" t="n">
        <f aca="false">-((($I$278+$K$278)*12)+Model!F35)+tax*(F280+Model!F35+F281)</f>
        <v>-716586.664135026</v>
      </c>
      <c r="G282" s="28" t="n">
        <f aca="false">-((($I$278+$K$278)*12)+Model!G35)+tax*(G280+Model!G35+G281)</f>
        <v>-726625.314460252</v>
      </c>
      <c r="H282" s="28" t="n">
        <f aca="false">-((($I$278+$K$278)*12)+Model!H35)+tax*(H280+Model!H35+H281)</f>
        <v>-737048.322113614</v>
      </c>
      <c r="I282" s="28" t="n">
        <f aca="false">-((($I$278+$K$278)*12)+Model!I35)+tax*(I280+Model!I35+I281)</f>
        <v>-747874.092813912</v>
      </c>
      <c r="J282" s="28" t="n">
        <f aca="false">-((($I$278+$K$278)*12)+Model!J35)+tax*(J280+Model!J35+J281)</f>
        <v>-759122.153767169</v>
      </c>
      <c r="K282" s="28" t="n">
        <f aca="false">-((($I$278+$K$278)*12)+Model!K35)+tax*(K280+Model!K35+K281)</f>
        <v>-770813.234553653</v>
      </c>
      <c r="L282" s="28" t="n">
        <f aca="false">-((($I$278+$K$278)*12)+Model!L35)+tax*(L280+Model!L35+L281)</f>
        <v>-782969.35436963</v>
      </c>
      <c r="M282" s="28" t="n">
        <f aca="false">-((($I$278+$K$278)*12)+Model!M35)+tax*(M280+Model!M35+M281)+($F$277*sf*(1-sale_cost)-M279-tax*($F$277*sf*(1-sale_cost)-($C$278-SUM($C281:$M281))))</f>
        <v>-1218621.96133525</v>
      </c>
    </row>
    <row r="283" customFormat="false" ht="15" hidden="false" customHeight="false" outlineLevel="0" collapsed="false">
      <c r="B283" s="20" t="s">
        <v>219</v>
      </c>
      <c r="C283" s="28" t="n">
        <f aca="false">C282+NPV(disc,D282:M282)</f>
        <v>-5484572.99684875</v>
      </c>
      <c r="D283" s="29" t="n">
        <f aca="false">C283-Model!$D$68</f>
        <v>30693.8687459603</v>
      </c>
    </row>
    <row r="285" customFormat="false" ht="15" hidden="false" customHeight="false" outlineLevel="0" collapsed="false">
      <c r="B285" s="20" t="s">
        <v>254</v>
      </c>
      <c r="C285" s="13" t="s">
        <v>212</v>
      </c>
      <c r="D285" s="26" t="n">
        <f aca="false">Sensitivity!$B$17</f>
        <v>190</v>
      </c>
      <c r="E285" s="13" t="s">
        <v>213</v>
      </c>
      <c r="F285" s="26" t="n">
        <f aca="false">user_val*(1+exit_grow)^10</f>
        <v>243.216063397308</v>
      </c>
      <c r="G285" s="13" t="s">
        <v>214</v>
      </c>
      <c r="H285" s="27" t="n">
        <f aca="false">bank_rate+Sensitivity!C$14</f>
        <v>0.0626</v>
      </c>
      <c r="I285" s="13" t="s">
        <v>215</v>
      </c>
      <c r="J285" s="27" t="n">
        <f aca="false">cdc_rate+Sensitivity!C$14</f>
        <v>0.0554</v>
      </c>
    </row>
    <row r="286" customFormat="false" ht="15" hidden="false" customHeight="false" outlineLevel="0" collapsed="false">
      <c r="B286" s="13" t="s">
        <v>216</v>
      </c>
      <c r="C286" s="28" t="n">
        <f aca="false">$D$285*sf*(1+close)+base*sf+fit*sf</f>
        <v>7011400</v>
      </c>
      <c r="E286" s="28" t="n">
        <f aca="false">C286*bank_pct</f>
        <v>3505700</v>
      </c>
      <c r="G286" s="28" t="n">
        <f aca="false">C286*cdc_pct</f>
        <v>2804560</v>
      </c>
      <c r="I286" s="28" t="n">
        <f aca="false">-PMT($H$285/12,amort*12,E286)</f>
        <v>23147.7041691378</v>
      </c>
      <c r="K286" s="28" t="n">
        <f aca="false">-PMT($J$285/12,amort*12,G286)</f>
        <v>17289.5110579118</v>
      </c>
    </row>
    <row r="287" customFormat="false" ht="15" hidden="false" customHeight="false" outlineLevel="0" collapsed="false">
      <c r="B287" s="13" t="s">
        <v>217</v>
      </c>
      <c r="C287" s="28" t="n">
        <f aca="false">-FV($H$285/12,12*C$3,-$I$286,$E$286)-FV($J$285/12,12*C$3,-$K$286,$G$286)</f>
        <v>6310260</v>
      </c>
      <c r="D287" s="28" t="n">
        <f aca="false">-FV($H$285/12,12*D$3,-$I$286,$E$286)-FV($J$285/12,12*D$3,-$K$286,$G$286)</f>
        <v>6196796.73385064</v>
      </c>
      <c r="E287" s="28" t="n">
        <f aca="false">-FV($H$285/12,12*E$3,-$I$286,$E$286)-FV($J$285/12,12*E$3,-$K$286,$G$286)</f>
        <v>6076429.42598096</v>
      </c>
      <c r="F287" s="28" t="n">
        <f aca="false">-FV($H$285/12,12*F$3,-$I$286,$E$286)-FV($J$285/12,12*F$3,-$K$286,$G$286)</f>
        <v>5948736.34496579</v>
      </c>
      <c r="G287" s="28" t="n">
        <f aca="false">-FV($H$285/12,12*G$3,-$I$286,$E$286)-FV($J$285/12,12*G$3,-$K$286,$G$286)</f>
        <v>5813269.89980353</v>
      </c>
      <c r="H287" s="28" t="n">
        <f aca="false">-FV($H$285/12,12*H$3,-$I$286,$E$286)-FV($J$285/12,12*H$3,-$K$286,$G$286)</f>
        <v>5669555.04838002</v>
      </c>
      <c r="I287" s="28" t="n">
        <f aca="false">-FV($H$285/12,12*I$3,-$I$286,$E$286)-FV($J$285/12,12*I$3,-$K$286,$G$286)</f>
        <v>5517087.60762921</v>
      </c>
      <c r="J287" s="28" t="n">
        <f aca="false">-FV($H$285/12,12*J$3,-$I$286,$E$286)-FV($J$285/12,12*J$3,-$K$286,$G$286)</f>
        <v>5355332.45929792</v>
      </c>
      <c r="K287" s="28" t="n">
        <f aca="false">-FV($H$285/12,12*K$3,-$I$286,$E$286)-FV($J$285/12,12*K$3,-$K$286,$G$286)</f>
        <v>5183721.64484305</v>
      </c>
      <c r="L287" s="28" t="n">
        <f aca="false">-FV($H$285/12,12*L$3,-$I$286,$E$286)-FV($J$285/12,12*L$3,-$K$286,$G$286)</f>
        <v>5001652.34258718</v>
      </c>
      <c r="M287" s="28" t="n">
        <f aca="false">-FV($H$285/12,12*M$3,-$I$286,$E$286)-FV($J$285/12,12*M$3,-$K$286,$G$286)</f>
        <v>4808484.719831</v>
      </c>
    </row>
    <row r="288" customFormat="false" ht="15" hidden="false" customHeight="false" outlineLevel="0" collapsed="false">
      <c r="B288" s="13" t="s">
        <v>169</v>
      </c>
      <c r="C288" s="28" t="n">
        <v>0</v>
      </c>
      <c r="D288" s="28" t="n">
        <f aca="false">(($I$286+$K$286)*12)-(C287-D287)</f>
        <v>371783.316575233</v>
      </c>
      <c r="E288" s="28" t="n">
        <f aca="false">(($I$286+$K$286)*12)-(D287-E287)</f>
        <v>364879.274854921</v>
      </c>
      <c r="F288" s="28" t="n">
        <f aca="false">(($I$286+$K$286)*12)-(E287-F287)</f>
        <v>357553.501709426</v>
      </c>
      <c r="G288" s="28" t="n">
        <f aca="false">(($I$286+$K$286)*12)-(F287-G287)</f>
        <v>349780.137562331</v>
      </c>
      <c r="H288" s="28" t="n">
        <f aca="false">(($I$286+$K$286)*12)-(G287-H287)</f>
        <v>341531.731301082</v>
      </c>
      <c r="I288" s="28" t="n">
        <f aca="false">(($I$286+$K$286)*12)-(H287-I287)</f>
        <v>332779.141973791</v>
      </c>
      <c r="J288" s="28" t="n">
        <f aca="false">(($I$286+$K$286)*12)-(I287-J287)</f>
        <v>323491.434393307</v>
      </c>
      <c r="K288" s="28" t="n">
        <f aca="false">(($I$286+$K$286)*12)-(J287-K287)</f>
        <v>313635.768269719</v>
      </c>
      <c r="L288" s="28" t="n">
        <f aca="false">(($I$286+$K$286)*12)-(K287-L287)</f>
        <v>303177.280468732</v>
      </c>
      <c r="M288" s="28" t="n">
        <f aca="false">(($I$286+$K$286)*12)-(L287-M287)</f>
        <v>292078.959968409</v>
      </c>
    </row>
    <row r="289" customFormat="false" ht="15" hidden="false" customHeight="false" outlineLevel="0" collapsed="false">
      <c r="B289" s="13" t="s">
        <v>171</v>
      </c>
      <c r="C289" s="28" t="n">
        <v>0</v>
      </c>
      <c r="D289" s="28" t="n">
        <f aca="false">(($D$285*sf*(1+close)*bldg_share+base*sf)/bldg_life)+IF(D$3=1,fit*sf*bonus,0)+fit*sf*(1-bonus)/15</f>
        <v>2825164.1025641</v>
      </c>
      <c r="E289" s="28" t="n">
        <f aca="false">(($D$285*sf*(1+close)*bldg_share+base*sf)/bldg_life)+IF(E$3=1,fit*sf*bonus,0)+fit*sf*(1-bonus)/15</f>
        <v>89764.1025641026</v>
      </c>
      <c r="F289" s="28" t="n">
        <f aca="false">(($D$285*sf*(1+close)*bldg_share+base*sf)/bldg_life)+IF(F$3=1,fit*sf*bonus,0)+fit*sf*(1-bonus)/15</f>
        <v>89764.1025641026</v>
      </c>
      <c r="G289" s="28" t="n">
        <f aca="false">(($D$285*sf*(1+close)*bldg_share+base*sf)/bldg_life)+IF(G$3=1,fit*sf*bonus,0)+fit*sf*(1-bonus)/15</f>
        <v>89764.1025641026</v>
      </c>
      <c r="H289" s="28" t="n">
        <f aca="false">(($D$285*sf*(1+close)*bldg_share+base*sf)/bldg_life)+IF(H$3=1,fit*sf*bonus,0)+fit*sf*(1-bonus)/15</f>
        <v>89764.1025641026</v>
      </c>
      <c r="I289" s="28" t="n">
        <f aca="false">(($D$285*sf*(1+close)*bldg_share+base*sf)/bldg_life)+IF(I$3=1,fit*sf*bonus,0)+fit*sf*(1-bonus)/15</f>
        <v>89764.1025641026</v>
      </c>
      <c r="J289" s="28" t="n">
        <f aca="false">(($D$285*sf*(1+close)*bldg_share+base*sf)/bldg_life)+IF(J$3=1,fit*sf*bonus,0)+fit*sf*(1-bonus)/15</f>
        <v>89764.1025641026</v>
      </c>
      <c r="K289" s="28" t="n">
        <f aca="false">(($D$285*sf*(1+close)*bldg_share+base*sf)/bldg_life)+IF(K$3=1,fit*sf*bonus,0)+fit*sf*(1-bonus)/15</f>
        <v>89764.1025641026</v>
      </c>
      <c r="L289" s="28" t="n">
        <f aca="false">(($D$285*sf*(1+close)*bldg_share+base*sf)/bldg_life)+IF(L$3=1,fit*sf*bonus,0)+fit*sf*(1-bonus)/15</f>
        <v>89764.1025641026</v>
      </c>
      <c r="M289" s="28" t="n">
        <f aca="false">(($D$285*sf*(1+close)*bldg_share+base*sf)/bldg_life)+IF(M$3=1,fit*sf*bonus,0)+fit*sf*(1-bonus)/15</f>
        <v>89764.1025641026</v>
      </c>
    </row>
    <row r="290" customFormat="false" ht="15" hidden="false" customHeight="false" outlineLevel="0" collapsed="false">
      <c r="B290" s="13" t="s">
        <v>218</v>
      </c>
      <c r="C290" s="28" t="n">
        <f aca="false">-($C$286-$E$286-$G$286)-carry_m/12*($E$286*$H$285+$G$286*$J$285+Model!$D$8*sf)*(1-tax)</f>
        <v>-888338.530086667</v>
      </c>
      <c r="D290" s="28" t="n">
        <f aca="false">-((($I$286+$K$286)*12)+Model!D35)+tax*(D288+Model!D35+D289)</f>
        <v>-79367.9542053349</v>
      </c>
      <c r="E290" s="28" t="n">
        <f aca="false">-((($I$286+$K$286)*12)+Model!E35)+tax*(E288+Model!E35+E289)</f>
        <v>-663216.212851601</v>
      </c>
      <c r="F290" s="28" t="n">
        <f aca="false">-((($I$286+$K$286)*12)+Model!F35)+tax*(F288+Model!F35+F289)</f>
        <v>-672957.967393704</v>
      </c>
      <c r="G290" s="28" t="n">
        <f aca="false">-((($I$286+$K$286)*12)+Model!G35)+tax*(G288+Model!G35+G289)</f>
        <v>-683039.816311591</v>
      </c>
      <c r="H290" s="28" t="n">
        <f aca="false">-((($I$286+$K$286)*12)+Model!H35)+tax*(H288+Model!H35+H289)</f>
        <v>-693474.907346859</v>
      </c>
      <c r="I290" s="28" t="n">
        <f aca="false">-((($I$286+$K$286)*12)+Model!I35)+tax*(I288+Model!I35+I289)</f>
        <v>-704276.964597609</v>
      </c>
      <c r="J290" s="28" t="n">
        <f aca="false">-((($I$286+$K$286)*12)+Model!J35)+tax*(J288+Model!J35+J289)</f>
        <v>-715460.31708629</v>
      </c>
      <c r="K290" s="28" t="n">
        <f aca="false">-((($I$286+$K$286)*12)+Model!K35)+tax*(K288+Model!K35+K289)</f>
        <v>-727039.928885926</v>
      </c>
      <c r="L290" s="28" t="n">
        <f aca="false">-((($I$286+$K$286)*12)+Model!L35)+tax*(L288+Model!L35+L289)</f>
        <v>-739031.430895226</v>
      </c>
      <c r="M290" s="28" t="n">
        <f aca="false">-((($I$286+$K$286)*12)+Model!M35)+tax*(M288+Model!M35+M289)+($F$285*sf*(1-sale_cost)-M287-tax*($F$285*sf*(1-sale_cost)-($C$286-SUM($C289:$M289))))</f>
        <v>-1122951.101947</v>
      </c>
    </row>
    <row r="291" customFormat="false" ht="15" hidden="false" customHeight="false" outlineLevel="0" collapsed="false">
      <c r="B291" s="20" t="s">
        <v>219</v>
      </c>
      <c r="C291" s="28" t="n">
        <f aca="false">C290+NPV(disc,D290:M290)</f>
        <v>-5182584.71303913</v>
      </c>
      <c r="D291" s="29" t="n">
        <f aca="false">C291-Model!$D$68</f>
        <v>332682.152555577</v>
      </c>
    </row>
    <row r="293" customFormat="false" ht="15" hidden="false" customHeight="false" outlineLevel="0" collapsed="false">
      <c r="B293" s="20" t="s">
        <v>255</v>
      </c>
      <c r="C293" s="13" t="s">
        <v>212</v>
      </c>
      <c r="D293" s="26" t="n">
        <f aca="false">Sensitivity!$B$17</f>
        <v>190</v>
      </c>
      <c r="E293" s="13" t="s">
        <v>213</v>
      </c>
      <c r="F293" s="26" t="n">
        <f aca="false">user_val*(1+exit_grow)^10</f>
        <v>243.216063397308</v>
      </c>
      <c r="G293" s="13" t="s">
        <v>214</v>
      </c>
      <c r="H293" s="27" t="n">
        <f aca="false">bank_rate+Sensitivity!D$14</f>
        <v>0.0676</v>
      </c>
      <c r="I293" s="13" t="s">
        <v>215</v>
      </c>
      <c r="J293" s="27" t="n">
        <f aca="false">cdc_rate+Sensitivity!D$14</f>
        <v>0.0604</v>
      </c>
    </row>
    <row r="294" customFormat="false" ht="15" hidden="false" customHeight="false" outlineLevel="0" collapsed="false">
      <c r="B294" s="13" t="s">
        <v>216</v>
      </c>
      <c r="C294" s="28" t="n">
        <f aca="false">$D$293*sf*(1+close)+base*sf+fit*sf</f>
        <v>7011400</v>
      </c>
      <c r="E294" s="28" t="n">
        <f aca="false">C294*bank_pct</f>
        <v>3505700</v>
      </c>
      <c r="G294" s="28" t="n">
        <f aca="false">C294*cdc_pct</f>
        <v>2804560</v>
      </c>
      <c r="I294" s="28" t="n">
        <f aca="false">-PMT($H$293/12,amort*12,E294)</f>
        <v>24243.4271055158</v>
      </c>
      <c r="K294" s="28" t="n">
        <f aca="false">-PMT($J$293/12,amort*12,G294)</f>
        <v>18138.4563333766</v>
      </c>
    </row>
    <row r="295" customFormat="false" ht="15" hidden="false" customHeight="false" outlineLevel="0" collapsed="false">
      <c r="B295" s="13" t="s">
        <v>217</v>
      </c>
      <c r="C295" s="28" t="n">
        <f aca="false">-FV($H$293/12,12*C$3,-$I$294,$E$294)-FV($J$293/12,12*C$3,-$K$294,$G$294)</f>
        <v>6310260</v>
      </c>
      <c r="D295" s="28" t="n">
        <f aca="false">-FV($H$293/12,12*D$3,-$I$294,$E$294)-FV($J$293/12,12*D$3,-$K$294,$G$294)</f>
        <v>6204996.41157323</v>
      </c>
      <c r="E295" s="28" t="n">
        <f aca="false">-FV($H$293/12,12*E$3,-$I$294,$E$294)-FV($J$293/12,12*E$3,-$K$294,$G$294)</f>
        <v>6092771.16927191</v>
      </c>
      <c r="F295" s="28" t="n">
        <f aca="false">-FV($H$293/12,12*F$3,-$I$294,$E$294)-FV($J$293/12,12*F$3,-$K$294,$G$294)</f>
        <v>5973122.33247042</v>
      </c>
      <c r="G295" s="28" t="n">
        <f aca="false">-FV($H$293/12,12*G$3,-$I$294,$E$294)-FV($J$293/12,12*G$3,-$K$294,$G$294)</f>
        <v>5845557.20837679</v>
      </c>
      <c r="H295" s="28" t="n">
        <f aca="false">-FV($H$293/12,12*H$3,-$I$294,$E$294)-FV($J$293/12,12*H$3,-$K$294,$G$294)</f>
        <v>5709550.29827688</v>
      </c>
      <c r="I295" s="28" t="n">
        <f aca="false">-FV($H$293/12,12*I$3,-$I$294,$E$294)-FV($J$293/12,12*I$3,-$K$294,$G$294)</f>
        <v>5564541.10619547</v>
      </c>
      <c r="J295" s="28" t="n">
        <f aca="false">-FV($H$293/12,12*J$3,-$I$294,$E$294)-FV($J$293/12,12*J$3,-$K$294,$G$294)</f>
        <v>5409931.80072972</v>
      </c>
      <c r="K295" s="28" t="n">
        <f aca="false">-FV($H$293/12,12*K$3,-$I$294,$E$294)-FV($J$293/12,12*K$3,-$K$294,$G$294)</f>
        <v>5245084.72018784</v>
      </c>
      <c r="L295" s="28" t="n">
        <f aca="false">-FV($H$293/12,12*L$3,-$I$294,$E$294)-FV($J$293/12,12*L$3,-$K$294,$G$294)</f>
        <v>5069319.71050054</v>
      </c>
      <c r="M295" s="28" t="n">
        <f aca="false">-FV($H$293/12,12*M$3,-$I$294,$E$294)-FV($J$293/12,12*M$3,-$K$294,$G$294)</f>
        <v>4881911.28466302</v>
      </c>
    </row>
    <row r="296" customFormat="false" ht="15" hidden="false" customHeight="false" outlineLevel="0" collapsed="false">
      <c r="B296" s="13" t="s">
        <v>169</v>
      </c>
      <c r="C296" s="28" t="n">
        <v>0</v>
      </c>
      <c r="D296" s="28" t="n">
        <f aca="false">(($I$294+$K$294)*12)-(C295-D295)</f>
        <v>403319.012839937</v>
      </c>
      <c r="E296" s="28" t="n">
        <f aca="false">(($I$294+$K$294)*12)-(D295-E295)</f>
        <v>396357.358965389</v>
      </c>
      <c r="F296" s="28" t="n">
        <f aca="false">(($I$294+$K$294)*12)-(E295-F295)</f>
        <v>388933.764465223</v>
      </c>
      <c r="G296" s="28" t="n">
        <f aca="false">(($I$294+$K$294)*12)-(F295-G295)</f>
        <v>381017.477173077</v>
      </c>
      <c r="H296" s="28" t="n">
        <f aca="false">(($I$294+$K$294)*12)-(G295-H295)</f>
        <v>372575.691166804</v>
      </c>
      <c r="I296" s="28" t="n">
        <f aca="false">(($I$294+$K$294)*12)-(H295-I295)</f>
        <v>363573.409185298</v>
      </c>
      <c r="J296" s="28" t="n">
        <f aca="false">(($I$294+$K$294)*12)-(I295-J295)</f>
        <v>353973.295800958</v>
      </c>
      <c r="K296" s="28" t="n">
        <f aca="false">(($I$294+$K$294)*12)-(J295-K295)</f>
        <v>343735.520724828</v>
      </c>
      <c r="L296" s="28" t="n">
        <f aca="false">(($I$294+$K$294)*12)-(K295-L295)</f>
        <v>332817.591579408</v>
      </c>
      <c r="M296" s="28" t="n">
        <f aca="false">(($I$294+$K$294)*12)-(L295-M295)</f>
        <v>321174.175429196</v>
      </c>
    </row>
    <row r="297" customFormat="false" ht="15" hidden="false" customHeight="false" outlineLevel="0" collapsed="false">
      <c r="B297" s="13" t="s">
        <v>171</v>
      </c>
      <c r="C297" s="28" t="n">
        <v>0</v>
      </c>
      <c r="D297" s="28" t="n">
        <f aca="false">(($D$293*sf*(1+close)*bldg_share+base*sf)/bldg_life)+IF(D$3=1,fit*sf*bonus,0)+fit*sf*(1-bonus)/15</f>
        <v>2825164.1025641</v>
      </c>
      <c r="E297" s="28" t="n">
        <f aca="false">(($D$293*sf*(1+close)*bldg_share+base*sf)/bldg_life)+IF(E$3=1,fit*sf*bonus,0)+fit*sf*(1-bonus)/15</f>
        <v>89764.1025641026</v>
      </c>
      <c r="F297" s="28" t="n">
        <f aca="false">(($D$293*sf*(1+close)*bldg_share+base*sf)/bldg_life)+IF(F$3=1,fit*sf*bonus,0)+fit*sf*(1-bonus)/15</f>
        <v>89764.1025641026</v>
      </c>
      <c r="G297" s="28" t="n">
        <f aca="false">(($D$293*sf*(1+close)*bldg_share+base*sf)/bldg_life)+IF(G$3=1,fit*sf*bonus,0)+fit*sf*(1-bonus)/15</f>
        <v>89764.1025641026</v>
      </c>
      <c r="H297" s="28" t="n">
        <f aca="false">(($D$293*sf*(1+close)*bldg_share+base*sf)/bldg_life)+IF(H$3=1,fit*sf*bonus,0)+fit*sf*(1-bonus)/15</f>
        <v>89764.1025641026</v>
      </c>
      <c r="I297" s="28" t="n">
        <f aca="false">(($D$293*sf*(1+close)*bldg_share+base*sf)/bldg_life)+IF(I$3=1,fit*sf*bonus,0)+fit*sf*(1-bonus)/15</f>
        <v>89764.1025641026</v>
      </c>
      <c r="J297" s="28" t="n">
        <f aca="false">(($D$293*sf*(1+close)*bldg_share+base*sf)/bldg_life)+IF(J$3=1,fit*sf*bonus,0)+fit*sf*(1-bonus)/15</f>
        <v>89764.1025641026</v>
      </c>
      <c r="K297" s="28" t="n">
        <f aca="false">(($D$293*sf*(1+close)*bldg_share+base*sf)/bldg_life)+IF(K$3=1,fit*sf*bonus,0)+fit*sf*(1-bonus)/15</f>
        <v>89764.1025641026</v>
      </c>
      <c r="L297" s="28" t="n">
        <f aca="false">(($D$293*sf*(1+close)*bldg_share+base*sf)/bldg_life)+IF(L$3=1,fit*sf*bonus,0)+fit*sf*(1-bonus)/15</f>
        <v>89764.1025641026</v>
      </c>
      <c r="M297" s="28" t="n">
        <f aca="false">(($D$293*sf*(1+close)*bldg_share+base*sf)/bldg_life)+IF(M$3=1,fit*sf*bonus,0)+fit*sf*(1-bonus)/15</f>
        <v>89764.1025641026</v>
      </c>
    </row>
    <row r="298" customFormat="false" ht="15" hidden="false" customHeight="false" outlineLevel="0" collapsed="false">
      <c r="B298" s="13" t="s">
        <v>218</v>
      </c>
      <c r="C298" s="28" t="n">
        <f aca="false">-($C$294-$E$294-$G$294)-carry_m/12*($E$294*$H$293+$G$294*$J$293+Model!$D$8*sf)*(1-tax)</f>
        <v>-896647.039086667</v>
      </c>
      <c r="D298" s="28" t="n">
        <f aca="false">-((($I$294+$K$294)*12)+Model!D35)+tax*(D296+Model!D35+D297)</f>
        <v>-96081.4765318614</v>
      </c>
      <c r="E298" s="28" t="n">
        <f aca="false">-((($I$294+$K$294)*12)+Model!E35)+tax*(E296+Model!E35+E297)</f>
        <v>-679941.833730516</v>
      </c>
      <c r="F298" s="28" t="n">
        <f aca="false">-((($I$294+$K$294)*12)+Model!F35)+tax*(F296+Model!F35+F297)</f>
        <v>-689704.130757101</v>
      </c>
      <c r="G298" s="28" t="n">
        <f aca="false">-((($I$294+$K$294)*12)+Model!G35)+tax*(G296+Model!G35+G297)</f>
        <v>-699815.993535448</v>
      </c>
      <c r="H298" s="28" t="n">
        <f aca="false">-((($I$294+$K$294)*12)+Model!H35)+tax*(H296+Model!H35+H297)</f>
        <v>-710291.694317172</v>
      </c>
      <c r="I298" s="28" t="n">
        <f aca="false">-((($I$294+$K$294)*12)+Model!I35)+tax*(I296+Model!I35+I297)</f>
        <v>-721146.187025307</v>
      </c>
      <c r="J298" s="28" t="n">
        <f aca="false">-((($I$294+$K$294)*12)+Model!J35)+tax*(J296+Model!J35+J297)</f>
        <v>-732395.144732797</v>
      </c>
      <c r="K298" s="28" t="n">
        <f aca="false">-((($I$294+$K$294)*12)+Model!K35)+tax*(K296+Model!K35+K297)</f>
        <v>-744054.999412467</v>
      </c>
      <c r="L298" s="28" t="n">
        <f aca="false">-((($I$294+$K$294)*12)+Model!L35)+tax*(L296+Model!L35+L297)</f>
        <v>-756142.984104099</v>
      </c>
      <c r="M298" s="28" t="n">
        <f aca="false">-((($I$294+$K$294)*12)+Model!M35)+tax*(M296+Model!M35+M297)+($F$293*sf*(1-sale_cost)-M295-tax*($F$293*sf*(1-sale_cost)-($C$294-SUM($C297:$M297))))</f>
        <v>-1213603.69007437</v>
      </c>
    </row>
    <row r="299" customFormat="false" ht="15" hidden="false" customHeight="false" outlineLevel="0" collapsed="false">
      <c r="B299" s="20" t="s">
        <v>219</v>
      </c>
      <c r="C299" s="28" t="n">
        <f aca="false">C298+NPV(disc,D298:M298)</f>
        <v>-5338032.30722533</v>
      </c>
      <c r="D299" s="29" t="n">
        <f aca="false">C299-Model!$D$68</f>
        <v>177234.558369373</v>
      </c>
    </row>
    <row r="301" customFormat="false" ht="15" hidden="false" customHeight="false" outlineLevel="0" collapsed="false">
      <c r="B301" s="20" t="s">
        <v>256</v>
      </c>
      <c r="C301" s="13" t="s">
        <v>212</v>
      </c>
      <c r="D301" s="26" t="n">
        <f aca="false">Sensitivity!$B$17</f>
        <v>190</v>
      </c>
      <c r="E301" s="13" t="s">
        <v>213</v>
      </c>
      <c r="F301" s="26" t="n">
        <f aca="false">user_val*(1+exit_grow)^10</f>
        <v>243.216063397308</v>
      </c>
      <c r="G301" s="13" t="s">
        <v>214</v>
      </c>
      <c r="H301" s="27" t="n">
        <f aca="false">bank_rate+Sensitivity!E$14</f>
        <v>0.0726</v>
      </c>
      <c r="I301" s="13" t="s">
        <v>215</v>
      </c>
      <c r="J301" s="27" t="n">
        <f aca="false">cdc_rate+Sensitivity!E$14</f>
        <v>0.0654</v>
      </c>
    </row>
    <row r="302" customFormat="false" ht="15" hidden="false" customHeight="false" outlineLevel="0" collapsed="false">
      <c r="B302" s="13" t="s">
        <v>216</v>
      </c>
      <c r="C302" s="28" t="n">
        <f aca="false">$D$301*sf*(1+close)+base*sf+fit*sf</f>
        <v>7011400</v>
      </c>
      <c r="E302" s="28" t="n">
        <f aca="false">C302*bank_pct</f>
        <v>3505700</v>
      </c>
      <c r="G302" s="28" t="n">
        <f aca="false">C302*cdc_pct</f>
        <v>2804560</v>
      </c>
      <c r="I302" s="28" t="n">
        <f aca="false">-PMT($H$301/12,amort*12,E302)</f>
        <v>25362.0305207705</v>
      </c>
      <c r="K302" s="28" t="n">
        <f aca="false">-PMT($J$301/12,amort*12,G302)</f>
        <v>19006.7485144819</v>
      </c>
    </row>
    <row r="303" customFormat="false" ht="15" hidden="false" customHeight="false" outlineLevel="0" collapsed="false">
      <c r="B303" s="13" t="s">
        <v>217</v>
      </c>
      <c r="C303" s="28" t="n">
        <f aca="false">-FV($H$301/12,12*C$3,-$I$302,$E$302)-FV($J$301/12,12*C$3,-$K$302,$G$302)</f>
        <v>6310260</v>
      </c>
      <c r="D303" s="28" t="n">
        <f aca="false">-FV($H$301/12,12*D$3,-$I$302,$E$302)-FV($J$301/12,12*D$3,-$K$302,$G$302)</f>
        <v>6212711.29800237</v>
      </c>
      <c r="E303" s="28" t="n">
        <f aca="false">-FV($H$301/12,12*E$3,-$I$302,$E$302)-FV($J$301/12,12*E$3,-$K$302,$G$302)</f>
        <v>6108193.05006583</v>
      </c>
      <c r="F303" s="28" t="n">
        <f aca="false">-FV($H$301/12,12*F$3,-$I$302,$E$302)-FV($J$301/12,12*F$3,-$K$302,$G$302)</f>
        <v>5996205.87455343</v>
      </c>
      <c r="G303" s="28" t="n">
        <f aca="false">-FV($H$301/12,12*G$3,-$I$302,$E$302)-FV($J$301/12,12*G$3,-$K$302,$G$302)</f>
        <v>5876214.50692187</v>
      </c>
      <c r="H303" s="28" t="n">
        <f aca="false">-FV($H$301/12,12*H$3,-$I$302,$E$302)-FV($J$301/12,12*H$3,-$K$302,$G$302)</f>
        <v>5747645.21421918</v>
      </c>
      <c r="I303" s="28" t="n">
        <f aca="false">-FV($H$301/12,12*I$3,-$I$302,$E$302)-FV($J$301/12,12*I$3,-$K$302,$G$302)</f>
        <v>5609883.02278364</v>
      </c>
      <c r="J303" s="28" t="n">
        <f aca="false">-FV($H$301/12,12*J$3,-$I$302,$E$302)-FV($J$301/12,12*J$3,-$K$302,$G$302)</f>
        <v>5462268.7456127</v>
      </c>
      <c r="K303" s="28" t="n">
        <f aca="false">-FV($H$301/12,12*K$3,-$I$302,$E$302)-FV($J$301/12,12*K$3,-$K$302,$G$302)</f>
        <v>5304095.79488807</v>
      </c>
      <c r="L303" s="28" t="n">
        <f aca="false">-FV($H$301/12,12*L$3,-$I$302,$E$302)-FV($J$301/12,12*L$3,-$K$302,$G$302)</f>
        <v>5134606.76408875</v>
      </c>
      <c r="M303" s="28" t="n">
        <f aca="false">-FV($H$301/12,12*M$3,-$I$302,$E$302)-FV($J$301/12,12*M$3,-$K$302,$G$302)</f>
        <v>4952989.76299315</v>
      </c>
    </row>
    <row r="304" customFormat="false" ht="15" hidden="false" customHeight="false" outlineLevel="0" collapsed="false">
      <c r="B304" s="13" t="s">
        <v>169</v>
      </c>
      <c r="C304" s="28" t="n">
        <v>0</v>
      </c>
      <c r="D304" s="28" t="n">
        <f aca="false">(($I$302+$K$302)*12)-(C303-D303)</f>
        <v>434876.646425396</v>
      </c>
      <c r="E304" s="28" t="n">
        <f aca="false">(($I$302+$K$302)*12)-(D303-E303)</f>
        <v>427907.100486494</v>
      </c>
      <c r="F304" s="28" t="n">
        <f aca="false">(($I$302+$K$302)*12)-(E303-F303)</f>
        <v>420438.172910625</v>
      </c>
      <c r="G304" s="28" t="n">
        <f aca="false">(($I$302+$K$302)*12)-(F303-G303)</f>
        <v>412433.98079147</v>
      </c>
      <c r="H304" s="28" t="n">
        <f aca="false">(($I$302+$K$302)*12)-(G303-H303)</f>
        <v>403856.055720346</v>
      </c>
      <c r="I304" s="28" t="n">
        <f aca="false">(($I$302+$K$302)*12)-(H303-I303)</f>
        <v>394663.156987491</v>
      </c>
      <c r="J304" s="28" t="n">
        <f aca="false">(($I$302+$K$302)*12)-(I303-J303)</f>
        <v>384811.071252092</v>
      </c>
      <c r="K304" s="28" t="n">
        <f aca="false">(($I$302+$K$302)*12)-(J303-K303)</f>
        <v>374252.397698396</v>
      </c>
      <c r="L304" s="28" t="n">
        <f aca="false">(($I$302+$K$302)*12)-(K303-L303)</f>
        <v>362936.317623714</v>
      </c>
      <c r="M304" s="28" t="n">
        <f aca="false">(($I$302+$K$302)*12)-(L303-M303)</f>
        <v>350808.347327429</v>
      </c>
    </row>
    <row r="305" customFormat="false" ht="15" hidden="false" customHeight="false" outlineLevel="0" collapsed="false">
      <c r="B305" s="13" t="s">
        <v>171</v>
      </c>
      <c r="C305" s="28" t="n">
        <v>0</v>
      </c>
      <c r="D305" s="28" t="n">
        <f aca="false">(($D$301*sf*(1+close)*bldg_share+base*sf)/bldg_life)+IF(D$3=1,fit*sf*bonus,0)+fit*sf*(1-bonus)/15</f>
        <v>2825164.1025641</v>
      </c>
      <c r="E305" s="28" t="n">
        <f aca="false">(($D$301*sf*(1+close)*bldg_share+base*sf)/bldg_life)+IF(E$3=1,fit*sf*bonus,0)+fit*sf*(1-bonus)/15</f>
        <v>89764.1025641026</v>
      </c>
      <c r="F305" s="28" t="n">
        <f aca="false">(($D$301*sf*(1+close)*bldg_share+base*sf)/bldg_life)+IF(F$3=1,fit*sf*bonus,0)+fit*sf*(1-bonus)/15</f>
        <v>89764.1025641026</v>
      </c>
      <c r="G305" s="28" t="n">
        <f aca="false">(($D$301*sf*(1+close)*bldg_share+base*sf)/bldg_life)+IF(G$3=1,fit*sf*bonus,0)+fit*sf*(1-bonus)/15</f>
        <v>89764.1025641026</v>
      </c>
      <c r="H305" s="28" t="n">
        <f aca="false">(($D$301*sf*(1+close)*bldg_share+base*sf)/bldg_life)+IF(H$3=1,fit*sf*bonus,0)+fit*sf*(1-bonus)/15</f>
        <v>89764.1025641026</v>
      </c>
      <c r="I305" s="28" t="n">
        <f aca="false">(($D$301*sf*(1+close)*bldg_share+base*sf)/bldg_life)+IF(I$3=1,fit*sf*bonus,0)+fit*sf*(1-bonus)/15</f>
        <v>89764.1025641026</v>
      </c>
      <c r="J305" s="28" t="n">
        <f aca="false">(($D$301*sf*(1+close)*bldg_share+base*sf)/bldg_life)+IF(J$3=1,fit*sf*bonus,0)+fit*sf*(1-bonus)/15</f>
        <v>89764.1025641026</v>
      </c>
      <c r="K305" s="28" t="n">
        <f aca="false">(($D$301*sf*(1+close)*bldg_share+base*sf)/bldg_life)+IF(K$3=1,fit*sf*bonus,0)+fit*sf*(1-bonus)/15</f>
        <v>89764.1025641026</v>
      </c>
      <c r="L305" s="28" t="n">
        <f aca="false">(($D$301*sf*(1+close)*bldg_share+base*sf)/bldg_life)+IF(L$3=1,fit*sf*bonus,0)+fit*sf*(1-bonus)/15</f>
        <v>89764.1025641026</v>
      </c>
      <c r="M305" s="28" t="n">
        <f aca="false">(($D$301*sf*(1+close)*bldg_share+base*sf)/bldg_life)+IF(M$3=1,fit*sf*bonus,0)+fit*sf*(1-bonus)/15</f>
        <v>89764.1025641026</v>
      </c>
    </row>
    <row r="306" customFormat="false" ht="15" hidden="false" customHeight="false" outlineLevel="0" collapsed="false">
      <c r="B306" s="13" t="s">
        <v>218</v>
      </c>
      <c r="C306" s="28" t="n">
        <f aca="false">-($C$302-$E$302-$G$302)-carry_m/12*($E$302*$H$301+$G$302*$J$301+Model!$D$8*sf)*(1-tax)</f>
        <v>-904955.548086667</v>
      </c>
      <c r="D306" s="28" t="n">
        <f aca="false">-((($I$302+$K$302)*12)+Model!D35)+tax*(D304+Model!D35+D305)</f>
        <v>-113297.120635235</v>
      </c>
      <c r="E306" s="28" t="n">
        <f aca="false">-((($I$302+$K$302)*12)+Model!E35)+tax*(E304+Model!E35+E305)</f>
        <v>-697159.135167405</v>
      </c>
      <c r="F306" s="28" t="n">
        <f aca="false">-((($I$302+$K$302)*12)+Model!F35)+tax*(F304+Model!F35+F305)</f>
        <v>-706930.952139887</v>
      </c>
      <c r="G306" s="28" t="n">
        <f aca="false">-((($I$302+$K$302)*12)+Model!G35)+tax*(G304+Model!G35+G305)</f>
        <v>-717061.274931906</v>
      </c>
      <c r="H306" s="28" t="n">
        <f aca="false">-((($I$302+$K$302)*12)+Model!H35)+tax*(H304+Model!H35+H305)</f>
        <v>-727565.564917249</v>
      </c>
      <c r="I306" s="28" t="n">
        <f aca="false">-((($I$302+$K$302)*12)+Model!I35)+tax*(I304+Model!I35+I305)</f>
        <v>-738460.087143167</v>
      </c>
      <c r="J306" s="28" t="n">
        <f aca="false">-((($I$302+$K$302)*12)+Model!J35)+tax*(J304+Model!J35+J305)</f>
        <v>-749761.95904438</v>
      </c>
      <c r="K306" s="28" t="n">
        <f aca="false">-((($I$302+$K$302)*12)+Model!K35)+tax*(K304+Model!K35+K305)</f>
        <v>-761489.202404339</v>
      </c>
      <c r="L306" s="28" t="n">
        <f aca="false">-((($I$302+$K$302)*12)+Model!L35)+tax*(L304+Model!L35+L305)</f>
        <v>-773660.798791115</v>
      </c>
      <c r="M306" s="28" t="n">
        <f aca="false">-((($I$302+$K$302)*12)+Model!M35)+tax*(M304+Model!M35+M305)+($F$301*sf*(1-sale_cost)-M303-tax*($F$301*sf*(1-sale_cost)-($C$302-SUM($C305:$M305))))</f>
        <v>-1302301.73946219</v>
      </c>
    </row>
    <row r="307" customFormat="false" ht="15" hidden="false" customHeight="false" outlineLevel="0" collapsed="false">
      <c r="B307" s="20" t="s">
        <v>219</v>
      </c>
      <c r="C307" s="28" t="n">
        <f aca="false">C306+NPV(disc,D306:M306)</f>
        <v>-5495460.44559592</v>
      </c>
      <c r="D307" s="29" t="n">
        <f aca="false">C307-Model!$D$68</f>
        <v>19806.4199987892</v>
      </c>
    </row>
    <row r="309" customFormat="false" ht="15" hidden="false" customHeight="false" outlineLevel="0" collapsed="false">
      <c r="B309" s="20" t="s">
        <v>257</v>
      </c>
      <c r="C309" s="13" t="s">
        <v>212</v>
      </c>
      <c r="D309" s="26" t="n">
        <f aca="false">Sensitivity!$B$17</f>
        <v>190</v>
      </c>
      <c r="E309" s="13" t="s">
        <v>213</v>
      </c>
      <c r="F309" s="26" t="n">
        <f aca="false">user_val*(1+exit_grow)^10</f>
        <v>243.216063397308</v>
      </c>
      <c r="G309" s="13" t="s">
        <v>214</v>
      </c>
      <c r="H309" s="27" t="n">
        <f aca="false">bank_rate+Sensitivity!F$14</f>
        <v>0.0776</v>
      </c>
      <c r="I309" s="13" t="s">
        <v>215</v>
      </c>
      <c r="J309" s="27" t="n">
        <f aca="false">cdc_rate+Sensitivity!F$14</f>
        <v>0.0704</v>
      </c>
    </row>
    <row r="310" customFormat="false" ht="15" hidden="false" customHeight="false" outlineLevel="0" collapsed="false">
      <c r="B310" s="13" t="s">
        <v>216</v>
      </c>
      <c r="C310" s="28" t="n">
        <f aca="false">$D$309*sf*(1+close)+base*sf+fit*sf</f>
        <v>7011400</v>
      </c>
      <c r="E310" s="28" t="n">
        <f aca="false">C310*bank_pct</f>
        <v>3505700</v>
      </c>
      <c r="G310" s="28" t="n">
        <f aca="false">C310*cdc_pct</f>
        <v>2804560</v>
      </c>
      <c r="I310" s="28" t="n">
        <f aca="false">-PMT($H$309/12,amort*12,E310)</f>
        <v>26502.5803675887</v>
      </c>
      <c r="K310" s="28" t="n">
        <f aca="false">-PMT($J$309/12,amort*12,G310)</f>
        <v>19893.6684329942</v>
      </c>
    </row>
    <row r="311" customFormat="false" ht="15" hidden="false" customHeight="false" outlineLevel="0" collapsed="false">
      <c r="B311" s="13" t="s">
        <v>217</v>
      </c>
      <c r="C311" s="28" t="n">
        <f aca="false">-FV($H$309/12,12*C$3,-$I$310,$E$310)-FV($J$309/12,12*C$3,-$K$310,$G$310)</f>
        <v>6310260</v>
      </c>
      <c r="D311" s="28" t="n">
        <f aca="false">-FV($H$309/12,12*D$3,-$I$310,$E$310)-FV($J$309/12,12*D$3,-$K$310,$G$310)</f>
        <v>6219958.4585652</v>
      </c>
      <c r="E311" s="28" t="n">
        <f aca="false">-FV($H$309/12,12*E$3,-$I$310,$E$310)-FV($J$309/12,12*E$3,-$K$310,$G$310)</f>
        <v>6122723.33568747</v>
      </c>
      <c r="F311" s="28" t="n">
        <f aca="false">-FV($H$309/12,12*F$3,-$I$310,$E$310)-FV($J$309/12,12*F$3,-$K$310,$G$310)</f>
        <v>6018020.91773178</v>
      </c>
      <c r="G311" s="28" t="n">
        <f aca="false">-FV($H$309/12,12*G$3,-$I$310,$E$310)-FV($J$309/12,12*G$3,-$K$310,$G$310)</f>
        <v>5905276.30663705</v>
      </c>
      <c r="H311" s="28" t="n">
        <f aca="false">-FV($H$309/12,12*H$3,-$I$310,$E$310)-FV($J$309/12,12*H$3,-$K$310,$G$310)</f>
        <v>5783870.23415977</v>
      </c>
      <c r="I311" s="28" t="n">
        <f aca="false">-FV($H$309/12,12*I$3,-$I$310,$E$310)-FV($J$309/12,12*I$3,-$K$310,$G$310)</f>
        <v>5653135.62910276</v>
      </c>
      <c r="J311" s="28" t="n">
        <f aca="false">-FV($H$309/12,12*J$3,-$I$310,$E$310)-FV($J$309/12,12*J$3,-$K$310,$G$310)</f>
        <v>5512353.91833197</v>
      </c>
      <c r="K311" s="28" t="n">
        <f aca="false">-FV($H$309/12,12*K$3,-$I$310,$E$310)-FV($J$309/12,12*K$3,-$K$310,$G$310)</f>
        <v>5360751.04088884</v>
      </c>
      <c r="L311" s="28" t="n">
        <f aca="false">-FV($H$309/12,12*L$3,-$I$310,$E$310)-FV($J$309/12,12*L$3,-$K$310,$G$310)</f>
        <v>5197493.15289393</v>
      </c>
      <c r="M311" s="28" t="n">
        <f aca="false">-FV($H$309/12,12*M$3,-$I$310,$E$310)-FV($J$309/12,12*M$3,-$K$310,$G$310)</f>
        <v>5021681.99919954</v>
      </c>
    </row>
    <row r="312" customFormat="false" ht="15" hidden="false" customHeight="false" outlineLevel="0" collapsed="false">
      <c r="B312" s="13" t="s">
        <v>169</v>
      </c>
      <c r="C312" s="28" t="n">
        <v>0</v>
      </c>
      <c r="D312" s="28" t="n">
        <f aca="false">(($I$310+$K$310)*12)-(C311-D311)</f>
        <v>466453.444172192</v>
      </c>
      <c r="E312" s="28" t="n">
        <f aca="false">(($I$310+$K$310)*12)-(D311-E311)</f>
        <v>459519.86272927</v>
      </c>
      <c r="F312" s="28" t="n">
        <f aca="false">(($I$310+$K$310)*12)-(E311-F311)</f>
        <v>452052.567651303</v>
      </c>
      <c r="G312" s="28" t="n">
        <f aca="false">(($I$310+$K$310)*12)-(F311-G311)</f>
        <v>444010.374512259</v>
      </c>
      <c r="H312" s="28" t="n">
        <f aca="false">(($I$310+$K$310)*12)-(G311-H311)</f>
        <v>435348.913129713</v>
      </c>
      <c r="I312" s="28" t="n">
        <f aca="false">(($I$310+$K$310)*12)-(H311-I311)</f>
        <v>426020.380549991</v>
      </c>
      <c r="J312" s="28" t="n">
        <f aca="false">(($I$310+$K$310)*12)-(I311-J311)</f>
        <v>415973.274836203</v>
      </c>
      <c r="K312" s="28" t="n">
        <f aca="false">(($I$310+$K$310)*12)-(J311-K311)</f>
        <v>405152.108163859</v>
      </c>
      <c r="L312" s="28" t="n">
        <f aca="false">(($I$310+$K$310)*12)-(K311-L311)</f>
        <v>393497.097612086</v>
      </c>
      <c r="M312" s="28" t="n">
        <f aca="false">(($I$310+$K$310)*12)-(L311-M311)</f>
        <v>380943.831912608</v>
      </c>
    </row>
    <row r="313" customFormat="false" ht="15" hidden="false" customHeight="false" outlineLevel="0" collapsed="false">
      <c r="B313" s="13" t="s">
        <v>171</v>
      </c>
      <c r="C313" s="28" t="n">
        <v>0</v>
      </c>
      <c r="D313" s="28" t="n">
        <f aca="false">(($D$309*sf*(1+close)*bldg_share+base*sf)/bldg_life)+IF(D$3=1,fit*sf*bonus,0)+fit*sf*(1-bonus)/15</f>
        <v>2825164.1025641</v>
      </c>
      <c r="E313" s="28" t="n">
        <f aca="false">(($D$309*sf*(1+close)*bldg_share+base*sf)/bldg_life)+IF(E$3=1,fit*sf*bonus,0)+fit*sf*(1-bonus)/15</f>
        <v>89764.1025641026</v>
      </c>
      <c r="F313" s="28" t="n">
        <f aca="false">(($D$309*sf*(1+close)*bldg_share+base*sf)/bldg_life)+IF(F$3=1,fit*sf*bonus,0)+fit*sf*(1-bonus)/15</f>
        <v>89764.1025641026</v>
      </c>
      <c r="G313" s="28" t="n">
        <f aca="false">(($D$309*sf*(1+close)*bldg_share+base*sf)/bldg_life)+IF(G$3=1,fit*sf*bonus,0)+fit*sf*(1-bonus)/15</f>
        <v>89764.1025641026</v>
      </c>
      <c r="H313" s="28" t="n">
        <f aca="false">(($D$309*sf*(1+close)*bldg_share+base*sf)/bldg_life)+IF(H$3=1,fit*sf*bonus,0)+fit*sf*(1-bonus)/15</f>
        <v>89764.1025641026</v>
      </c>
      <c r="I313" s="28" t="n">
        <f aca="false">(($D$309*sf*(1+close)*bldg_share+base*sf)/bldg_life)+IF(I$3=1,fit*sf*bonus,0)+fit*sf*(1-bonus)/15</f>
        <v>89764.1025641026</v>
      </c>
      <c r="J313" s="28" t="n">
        <f aca="false">(($D$309*sf*(1+close)*bldg_share+base*sf)/bldg_life)+IF(J$3=1,fit*sf*bonus,0)+fit*sf*(1-bonus)/15</f>
        <v>89764.1025641026</v>
      </c>
      <c r="K313" s="28" t="n">
        <f aca="false">(($D$309*sf*(1+close)*bldg_share+base*sf)/bldg_life)+IF(K$3=1,fit*sf*bonus,0)+fit*sf*(1-bonus)/15</f>
        <v>89764.1025641026</v>
      </c>
      <c r="L313" s="28" t="n">
        <f aca="false">(($D$309*sf*(1+close)*bldg_share+base*sf)/bldg_life)+IF(L$3=1,fit*sf*bonus,0)+fit*sf*(1-bonus)/15</f>
        <v>89764.1025641026</v>
      </c>
      <c r="M313" s="28" t="n">
        <f aca="false">(($D$309*sf*(1+close)*bldg_share+base*sf)/bldg_life)+IF(M$3=1,fit*sf*bonus,0)+fit*sf*(1-bonus)/15</f>
        <v>89764.1025641026</v>
      </c>
    </row>
    <row r="314" customFormat="false" ht="15" hidden="false" customHeight="false" outlineLevel="0" collapsed="false">
      <c r="B314" s="13" t="s">
        <v>218</v>
      </c>
      <c r="C314" s="28" t="n">
        <f aca="false">-($C$310-$E$310-$G$310)-carry_m/12*($E$310*$H$309+$G$310*$J$309+Model!$D$8*sf)*(1-tax)</f>
        <v>-913264.057086667</v>
      </c>
      <c r="D314" s="28" t="n">
        <f aca="false">-((($I$310+$K$310)*12)+Model!D35)+tax*(D312+Model!D35+D313)</f>
        <v>-130995.630292372</v>
      </c>
      <c r="E314" s="28" t="n">
        <f aca="false">-((($I$310+$K$310)*12)+Model!E35)+tax*(E312+Model!E35+E313)</f>
        <v>-714850.092280386</v>
      </c>
      <c r="F314" s="28" t="n">
        <f aca="false">-((($I$310+$K$310)*12)+Model!F35)+tax*(F312+Model!F35+F313)</f>
        <v>-724621.566428309</v>
      </c>
      <c r="G314" s="28" t="n">
        <f aca="false">-((($I$310+$K$310)*12)+Model!G35)+tax*(G312+Model!G35+G313)</f>
        <v>-734759.869434505</v>
      </c>
      <c r="H314" s="28" t="n">
        <f aca="false">-((($I$310+$K$310)*12)+Model!H35)+tax*(H312+Model!H35+H313)</f>
        <v>-745281.702045246</v>
      </c>
      <c r="I314" s="28" t="n">
        <f aca="false">-((($I$310+$K$310)*12)+Model!I35)+tax*(I312+Model!I35+I313)</f>
        <v>-756204.707379006</v>
      </c>
      <c r="J314" s="28" t="n">
        <f aca="false">-((($I$310+$K$310)*12)+Model!J35)+tax*(J312+Model!J35+J313)</f>
        <v>-767547.533475681</v>
      </c>
      <c r="K314" s="28" t="n">
        <f aca="false">-((($I$310+$K$310)*12)+Model!K35)+tax*(K312+Model!K35+K313)</f>
        <v>-779329.900390555</v>
      </c>
      <c r="L314" s="28" t="n">
        <f aca="false">-((($I$310+$K$310)*12)+Model!L35)+tax*(L312+Model!L35+L313)</f>
        <v>-791572.672177521</v>
      </c>
      <c r="M314" s="28" t="n">
        <f aca="false">-((($I$310+$K$310)*12)+Model!M35)+tax*(M312+Model!M35+M313)+($F$309*sf*(1-sale_cost)-M311-tax*($F$309*sf*(1-sale_cost)-($C$310-SUM($C313:$M313))))</f>
        <v>-1388995.16108966</v>
      </c>
    </row>
    <row r="315" customFormat="false" ht="15" hidden="false" customHeight="false" outlineLevel="0" collapsed="false">
      <c r="B315" s="20" t="s">
        <v>219</v>
      </c>
      <c r="C315" s="28" t="n">
        <f aca="false">C314+NPV(disc,D314:M314)</f>
        <v>-5654748.11946857</v>
      </c>
      <c r="D315" s="29" t="n">
        <f aca="false">C315-Model!$D$68</f>
        <v>-139481.253873866</v>
      </c>
    </row>
    <row r="317" customFormat="false" ht="15" hidden="false" customHeight="false" outlineLevel="0" collapsed="false">
      <c r="B317" s="20" t="s">
        <v>258</v>
      </c>
      <c r="C317" s="13" t="s">
        <v>212</v>
      </c>
      <c r="D317" s="26" t="n">
        <f aca="false">Sensitivity!$B$17</f>
        <v>190</v>
      </c>
      <c r="E317" s="13" t="s">
        <v>213</v>
      </c>
      <c r="F317" s="26" t="n">
        <f aca="false">user_val*(1+exit_grow)^10</f>
        <v>243.216063397308</v>
      </c>
      <c r="G317" s="13" t="s">
        <v>214</v>
      </c>
      <c r="H317" s="27" t="n">
        <f aca="false">bank_rate+Sensitivity!G$14</f>
        <v>0.0826</v>
      </c>
      <c r="I317" s="13" t="s">
        <v>215</v>
      </c>
      <c r="J317" s="27" t="n">
        <f aca="false">cdc_rate+Sensitivity!G$14</f>
        <v>0.0754</v>
      </c>
    </row>
    <row r="318" customFormat="false" ht="15" hidden="false" customHeight="false" outlineLevel="0" collapsed="false">
      <c r="B318" s="13" t="s">
        <v>216</v>
      </c>
      <c r="C318" s="28" t="n">
        <f aca="false">$D$317*sf*(1+close)+base*sf+fit*sf</f>
        <v>7011400</v>
      </c>
      <c r="E318" s="28" t="n">
        <f aca="false">C318*bank_pct</f>
        <v>3505700</v>
      </c>
      <c r="G318" s="28" t="n">
        <f aca="false">C318*cdc_pct</f>
        <v>2804560</v>
      </c>
      <c r="I318" s="28" t="n">
        <f aca="false">-PMT($H$317/12,amort*12,E318)</f>
        <v>27664.1268763624</v>
      </c>
      <c r="K318" s="28" t="n">
        <f aca="false">-PMT($J$317/12,amort*12,G318)</f>
        <v>20798.476159433</v>
      </c>
    </row>
    <row r="319" customFormat="false" ht="15" hidden="false" customHeight="false" outlineLevel="0" collapsed="false">
      <c r="B319" s="13" t="s">
        <v>217</v>
      </c>
      <c r="C319" s="28" t="n">
        <f aca="false">-FV($H$317/12,12*C$3,-$I$318,$E$318)-FV($J$317/12,12*C$3,-$K$318,$G$318)</f>
        <v>6310260</v>
      </c>
      <c r="D319" s="28" t="n">
        <f aca="false">-FV($H$317/12,12*D$3,-$I$318,$E$318)-FV($J$317/12,12*D$3,-$K$318,$G$318)</f>
        <v>6226755.58282029</v>
      </c>
      <c r="E319" s="28" t="n">
        <f aca="false">-FV($H$317/12,12*E$3,-$I$318,$E$318)-FV($J$317/12,12*E$3,-$K$318,$G$318)</f>
        <v>6136391.89125984</v>
      </c>
      <c r="F319" s="28" t="n">
        <f aca="false">-FV($H$317/12,12*F$3,-$I$318,$E$318)-FV($J$317/12,12*F$3,-$K$318,$G$318)</f>
        <v>6038604.23979208</v>
      </c>
      <c r="G319" s="28" t="n">
        <f aca="false">-FV($H$317/12,12*G$3,-$I$318,$E$318)-FV($J$317/12,12*G$3,-$K$318,$G$318)</f>
        <v>5932781.35386544</v>
      </c>
      <c r="H319" s="28" t="n">
        <f aca="false">-FV($H$317/12,12*H$3,-$I$318,$E$318)-FV($J$317/12,12*H$3,-$K$318,$G$318)</f>
        <v>5818261.51783609</v>
      </c>
      <c r="I319" s="28" t="n">
        <f aca="false">-FV($H$317/12,12*I$3,-$I$318,$E$318)-FV($J$317/12,12*I$3,-$K$318,$G$318)</f>
        <v>5694328.40373345</v>
      </c>
      <c r="J319" s="28" t="n">
        <f aca="false">-FV($H$317/12,12*J$3,-$I$318,$E$318)-FV($J$317/12,12*J$3,-$K$318,$G$318)</f>
        <v>5560206.55435895</v>
      </c>
      <c r="K319" s="28" t="n">
        <f aca="false">-FV($H$317/12,12*K$3,-$I$318,$E$318)-FV($J$317/12,12*K$3,-$K$318,$G$318)</f>
        <v>5415056.49201424</v>
      </c>
      <c r="L319" s="28" t="n">
        <f aca="false">-FV($H$317/12,12*L$3,-$I$318,$E$318)-FV($J$317/12,12*L$3,-$K$318,$G$318)</f>
        <v>5257969.42176669</v>
      </c>
      <c r="M319" s="28" t="n">
        <f aca="false">-FV($H$317/12,12*M$3,-$I$318,$E$318)-FV($J$317/12,12*M$3,-$K$318,$G$318)</f>
        <v>5087961.49557248</v>
      </c>
    </row>
    <row r="320" customFormat="false" ht="15" hidden="false" customHeight="false" outlineLevel="0" collapsed="false">
      <c r="B320" s="13" t="s">
        <v>169</v>
      </c>
      <c r="C320" s="28" t="n">
        <v>0</v>
      </c>
      <c r="D320" s="28" t="n">
        <f aca="false">(($I$318+$K$318)*12)-(C319-D319)</f>
        <v>498046.819249838</v>
      </c>
      <c r="E320" s="28" t="n">
        <f aca="false">(($I$318+$K$318)*12)-(D319-E319)</f>
        <v>491187.544869087</v>
      </c>
      <c r="F320" s="28" t="n">
        <f aca="false">(($I$318+$K$318)*12)-(E319-F319)</f>
        <v>483763.584961789</v>
      </c>
      <c r="G320" s="28" t="n">
        <f aca="false">(($I$318+$K$318)*12)-(F319-G319)</f>
        <v>475728.350502902</v>
      </c>
      <c r="H320" s="28" t="n">
        <f aca="false">(($I$318+$K$318)*12)-(G319-H319)</f>
        <v>467031.400400196</v>
      </c>
      <c r="I320" s="28" t="n">
        <f aca="false">(($I$318+$K$318)*12)-(H319-I319)</f>
        <v>457618.122326902</v>
      </c>
      <c r="J320" s="28" t="n">
        <f aca="false">(($I$318+$K$318)*12)-(I319-J319)</f>
        <v>447429.387055038</v>
      </c>
      <c r="K320" s="28" t="n">
        <f aca="false">(($I$318+$K$318)*12)-(J319-K319)</f>
        <v>436401.174084835</v>
      </c>
      <c r="L320" s="28" t="n">
        <f aca="false">(($I$318+$K$318)*12)-(K319-L319)</f>
        <v>424464.166181993</v>
      </c>
      <c r="M320" s="28" t="n">
        <f aca="false">(($I$318+$K$318)*12)-(L319-M319)</f>
        <v>411543.310235333</v>
      </c>
    </row>
    <row r="321" customFormat="false" ht="15" hidden="false" customHeight="false" outlineLevel="0" collapsed="false">
      <c r="B321" s="13" t="s">
        <v>171</v>
      </c>
      <c r="C321" s="28" t="n">
        <v>0</v>
      </c>
      <c r="D321" s="28" t="n">
        <f aca="false">(($D$317*sf*(1+close)*bldg_share+base*sf)/bldg_life)+IF(D$3=1,fit*sf*bonus,0)+fit*sf*(1-bonus)/15</f>
        <v>2825164.1025641</v>
      </c>
      <c r="E321" s="28" t="n">
        <f aca="false">(($D$317*sf*(1+close)*bldg_share+base*sf)/bldg_life)+IF(E$3=1,fit*sf*bonus,0)+fit*sf*(1-bonus)/15</f>
        <v>89764.1025641026</v>
      </c>
      <c r="F321" s="28" t="n">
        <f aca="false">(($D$317*sf*(1+close)*bldg_share+base*sf)/bldg_life)+IF(F$3=1,fit*sf*bonus,0)+fit*sf*(1-bonus)/15</f>
        <v>89764.1025641026</v>
      </c>
      <c r="G321" s="28" t="n">
        <f aca="false">(($D$317*sf*(1+close)*bldg_share+base*sf)/bldg_life)+IF(G$3=1,fit*sf*bonus,0)+fit*sf*(1-bonus)/15</f>
        <v>89764.1025641026</v>
      </c>
      <c r="H321" s="28" t="n">
        <f aca="false">(($D$317*sf*(1+close)*bldg_share+base*sf)/bldg_life)+IF(H$3=1,fit*sf*bonus,0)+fit*sf*(1-bonus)/15</f>
        <v>89764.1025641026</v>
      </c>
      <c r="I321" s="28" t="n">
        <f aca="false">(($D$317*sf*(1+close)*bldg_share+base*sf)/bldg_life)+IF(I$3=1,fit*sf*bonus,0)+fit*sf*(1-bonus)/15</f>
        <v>89764.1025641026</v>
      </c>
      <c r="J321" s="28" t="n">
        <f aca="false">(($D$317*sf*(1+close)*bldg_share+base*sf)/bldg_life)+IF(J$3=1,fit*sf*bonus,0)+fit*sf*(1-bonus)/15</f>
        <v>89764.1025641026</v>
      </c>
      <c r="K321" s="28" t="n">
        <f aca="false">(($D$317*sf*(1+close)*bldg_share+base*sf)/bldg_life)+IF(K$3=1,fit*sf*bonus,0)+fit*sf*(1-bonus)/15</f>
        <v>89764.1025641026</v>
      </c>
      <c r="L321" s="28" t="n">
        <f aca="false">(($D$317*sf*(1+close)*bldg_share+base*sf)/bldg_life)+IF(L$3=1,fit*sf*bonus,0)+fit*sf*(1-bonus)/15</f>
        <v>89764.1025641026</v>
      </c>
      <c r="M321" s="28" t="n">
        <f aca="false">(($D$317*sf*(1+close)*bldg_share+base*sf)/bldg_life)+IF(M$3=1,fit*sf*bonus,0)+fit*sf*(1-bonus)/15</f>
        <v>89764.1025641026</v>
      </c>
    </row>
    <row r="322" customFormat="false" ht="15" hidden="false" customHeight="false" outlineLevel="0" collapsed="false">
      <c r="B322" s="13" t="s">
        <v>218</v>
      </c>
      <c r="C322" s="28" t="n">
        <f aca="false">-($C$318-$E$318-$G$318)-carry_m/12*($E$318*$H$317+$G$318*$J$317+Model!$D$8*sf)*(1-tax)</f>
        <v>-921572.566086667</v>
      </c>
      <c r="D322" s="28" t="n">
        <f aca="false">-((($I$318+$K$318)*12)+Model!D35)+tax*(D320+Model!D35+D321)</f>
        <v>-149157.272348616</v>
      </c>
      <c r="E322" s="28" t="n">
        <f aca="false">-((($I$318+$K$318)*12)+Model!E35)+tax*(E320+Model!E35+E321)</f>
        <v>-732996.129853574</v>
      </c>
      <c r="F322" s="28" t="n">
        <f aca="false">-((($I$318+$K$318)*12)+Model!F35)+tax*(F320+Model!F35+F321)</f>
        <v>-742758.503615657</v>
      </c>
      <c r="G322" s="28" t="n">
        <f aca="false">-((($I$318+$K$318)*12)+Model!G35)+tax*(G320+Model!G35+G321)</f>
        <v>-752895.34529902</v>
      </c>
      <c r="H322" s="28" t="n">
        <f aca="false">-((($I$318+$K$318)*12)+Model!H35)+tax*(H320+Model!H35+H321)</f>
        <v>-763424.630540994</v>
      </c>
      <c r="I322" s="28" t="n">
        <f aca="false">-((($I$318+$K$318)*12)+Model!I35)+tax*(I320+Model!I35+I321)</f>
        <v>-774365.432428405</v>
      </c>
      <c r="J322" s="28" t="n">
        <f aca="false">-((($I$318+$K$318)*12)+Model!J35)+tax*(J320+Model!J35+J321)</f>
        <v>-785738.000732275</v>
      </c>
      <c r="K322" s="28" t="n">
        <f aca="false">-((($I$318+$K$318)*12)+Model!K35)+tax*(K320+Model!K35+K321)</f>
        <v>-797563.8473697</v>
      </c>
      <c r="L322" s="28" t="n">
        <f aca="false">-((($I$318+$K$318)*12)+Model!L35)+tax*(L320+Model!L35+L321)</f>
        <v>-809865.83860039</v>
      </c>
      <c r="M322" s="28" t="n">
        <f aca="false">-((($I$318+$K$318)*12)+Model!M35)+tax*(M320+Model!M35+M321)+($F$317*sf*(1-sale_cost)-M319-tax*($F$317*sf*(1-sale_cost)-($C$318-SUM($C321:$M321))))</f>
        <v>-1473645.01783737</v>
      </c>
    </row>
    <row r="323" customFormat="false" ht="15" hidden="false" customHeight="false" outlineLevel="0" collapsed="false">
      <c r="B323" s="20" t="s">
        <v>219</v>
      </c>
      <c r="C323" s="28" t="n">
        <f aca="false">C322+NPV(disc,D322:M322)</f>
        <v>-5815775.77455273</v>
      </c>
      <c r="D323" s="29" t="n">
        <f aca="false">C323-Model!$D$68</f>
        <v>-300508.908958026</v>
      </c>
    </row>
    <row r="325" customFormat="false" ht="15" hidden="false" customHeight="false" outlineLevel="0" collapsed="false">
      <c r="B325" s="20" t="s">
        <v>259</v>
      </c>
      <c r="C325" s="13" t="s">
        <v>212</v>
      </c>
      <c r="D325" s="26" t="n">
        <f aca="false">Sensitivity!$B$18</f>
        <v>210</v>
      </c>
      <c r="E325" s="13" t="s">
        <v>213</v>
      </c>
      <c r="F325" s="26" t="n">
        <f aca="false">user_val*(1+exit_grow)^10</f>
        <v>243.216063397308</v>
      </c>
      <c r="G325" s="13" t="s">
        <v>214</v>
      </c>
      <c r="H325" s="27" t="n">
        <f aca="false">bank_rate+Sensitivity!C$14</f>
        <v>0.0626</v>
      </c>
      <c r="I325" s="13" t="s">
        <v>215</v>
      </c>
      <c r="J325" s="27" t="n">
        <f aca="false">cdc_rate+Sensitivity!C$14</f>
        <v>0.0554</v>
      </c>
    </row>
    <row r="326" customFormat="false" ht="15" hidden="false" customHeight="false" outlineLevel="0" collapsed="false">
      <c r="B326" s="13" t="s">
        <v>216</v>
      </c>
      <c r="C326" s="28" t="n">
        <f aca="false">$D$325*sf*(1+close)+base*sf+fit*sf</f>
        <v>7419400</v>
      </c>
      <c r="E326" s="28" t="n">
        <f aca="false">C326*bank_pct</f>
        <v>3709700</v>
      </c>
      <c r="G326" s="28" t="n">
        <f aca="false">C326*cdc_pct</f>
        <v>2967760</v>
      </c>
      <c r="I326" s="28" t="n">
        <f aca="false">-PMT($H$325/12,amort*12,E326)</f>
        <v>24494.6909764813</v>
      </c>
      <c r="K326" s="28" t="n">
        <f aca="false">-PMT($J$325/12,amort*12,G326)</f>
        <v>18295.6040652467</v>
      </c>
    </row>
    <row r="327" customFormat="false" ht="15" hidden="false" customHeight="false" outlineLevel="0" collapsed="false">
      <c r="B327" s="13" t="s">
        <v>217</v>
      </c>
      <c r="C327" s="28" t="n">
        <f aca="false">-FV($H$325/12,12*C$3,-$I$326,$E$326)-FV($J$325/12,12*C$3,-$K$326,$G$326)</f>
        <v>6677460</v>
      </c>
      <c r="D327" s="28" t="n">
        <f aca="false">-FV($H$325/12,12*D$3,-$I$326,$E$326)-FV($J$325/12,12*D$3,-$K$326,$G$326)</f>
        <v>6557394.19903748</v>
      </c>
      <c r="E327" s="28" t="n">
        <f aca="false">-FV($H$325/12,12*E$3,-$I$326,$E$326)-FV($J$325/12,12*E$3,-$K$326,$G$326)</f>
        <v>6430022.60363453</v>
      </c>
      <c r="F327" s="28" t="n">
        <f aca="false">-FV($H$325/12,12*F$3,-$I$326,$E$326)-FV($J$325/12,12*F$3,-$K$326,$G$326)</f>
        <v>6294898.9414153</v>
      </c>
      <c r="G327" s="28" t="n">
        <f aca="false">-FV($H$325/12,12*G$3,-$I$326,$E$326)-FV($J$325/12,12*G$3,-$K$326,$G$326)</f>
        <v>6151549.5756343</v>
      </c>
      <c r="H327" s="28" t="n">
        <f aca="false">-FV($H$325/12,12*H$3,-$I$326,$E$326)-FV($J$325/12,12*H$3,-$K$326,$G$326)</f>
        <v>5999471.82102728</v>
      </c>
      <c r="I327" s="28" t="n">
        <f aca="false">-FV($H$325/12,12*I$3,-$I$326,$E$326)-FV($J$325/12,12*I$3,-$K$326,$G$326)</f>
        <v>5838132.15563856</v>
      </c>
      <c r="J327" s="28" t="n">
        <f aca="false">-FV($H$325/12,12*J$3,-$I$326,$E$326)-FV($J$325/12,12*J$3,-$K$326,$G$326)</f>
        <v>5666964.32217746</v>
      </c>
      <c r="K327" s="28" t="n">
        <f aca="false">-FV($H$325/12,12*K$3,-$I$326,$E$326)-FV($J$325/12,12*K$3,-$K$326,$G$326)</f>
        <v>5485367.31205587</v>
      </c>
      <c r="L327" s="28" t="n">
        <f aca="false">-FV($H$325/12,12*L$3,-$I$326,$E$326)-FV($J$325/12,12*L$3,-$K$326,$G$326)</f>
        <v>5292703.22483261</v>
      </c>
      <c r="M327" s="28" t="n">
        <f aca="false">-FV($H$325/12,12*M$3,-$I$326,$E$326)-FV($J$325/12,12*M$3,-$K$326,$G$326)</f>
        <v>5088294.99533818</v>
      </c>
    </row>
    <row r="328" customFormat="false" ht="15" hidden="false" customHeight="false" outlineLevel="0" collapsed="false">
      <c r="B328" s="13" t="s">
        <v>169</v>
      </c>
      <c r="C328" s="28" t="n">
        <v>0</v>
      </c>
      <c r="D328" s="28" t="n">
        <f aca="false">(($I$326+$K$326)*12)-(C327-D327)</f>
        <v>393417.73953822</v>
      </c>
      <c r="E328" s="28" t="n">
        <f aca="false">(($I$326+$K$326)*12)-(D327-E327)</f>
        <v>386111.945097784</v>
      </c>
      <c r="F328" s="28" t="n">
        <f aca="false">(($I$326+$K$326)*12)-(E327-F327)</f>
        <v>378359.8782815</v>
      </c>
      <c r="G328" s="28" t="n">
        <f aca="false">(($I$326+$K$326)*12)-(F327-G327)</f>
        <v>370134.174719736</v>
      </c>
      <c r="H328" s="28" t="n">
        <f aca="false">(($I$326+$K$326)*12)-(G327-H327)</f>
        <v>361405.785893724</v>
      </c>
      <c r="I328" s="28" t="n">
        <f aca="false">(($I$326+$K$326)*12)-(H327-I327)</f>
        <v>352143.87511201</v>
      </c>
      <c r="J328" s="28" t="n">
        <f aca="false">(($I$326+$K$326)*12)-(I327-J327)</f>
        <v>342315.707039637</v>
      </c>
      <c r="K328" s="28" t="n">
        <f aca="false">(($I$326+$K$326)*12)-(J327-K327)</f>
        <v>331886.530379147</v>
      </c>
      <c r="L328" s="28" t="n">
        <f aca="false">(($I$326+$K$326)*12)-(K327-L327)</f>
        <v>320819.45327748</v>
      </c>
      <c r="M328" s="28" t="n">
        <f aca="false">(($I$326+$K$326)*12)-(L327-M327)</f>
        <v>309075.311006304</v>
      </c>
    </row>
    <row r="329" customFormat="false" ht="15" hidden="false" customHeight="false" outlineLevel="0" collapsed="false">
      <c r="B329" s="13" t="s">
        <v>171</v>
      </c>
      <c r="C329" s="28" t="n">
        <v>0</v>
      </c>
      <c r="D329" s="28" t="n">
        <f aca="false">(($D$325*sf*(1+close)*bldg_share+base*sf)/bldg_life)+IF(D$3=1,fit*sf*bonus,0)+fit*sf*(1-bonus)/15</f>
        <v>2833533.33333333</v>
      </c>
      <c r="E329" s="28" t="n">
        <f aca="false">(($D$325*sf*(1+close)*bldg_share+base*sf)/bldg_life)+IF(E$3=1,fit*sf*bonus,0)+fit*sf*(1-bonus)/15</f>
        <v>98133.3333333333</v>
      </c>
      <c r="F329" s="28" t="n">
        <f aca="false">(($D$325*sf*(1+close)*bldg_share+base*sf)/bldg_life)+IF(F$3=1,fit*sf*bonus,0)+fit*sf*(1-bonus)/15</f>
        <v>98133.3333333333</v>
      </c>
      <c r="G329" s="28" t="n">
        <f aca="false">(($D$325*sf*(1+close)*bldg_share+base*sf)/bldg_life)+IF(G$3=1,fit*sf*bonus,0)+fit*sf*(1-bonus)/15</f>
        <v>98133.3333333333</v>
      </c>
      <c r="H329" s="28" t="n">
        <f aca="false">(($D$325*sf*(1+close)*bldg_share+base*sf)/bldg_life)+IF(H$3=1,fit*sf*bonus,0)+fit*sf*(1-bonus)/15</f>
        <v>98133.3333333333</v>
      </c>
      <c r="I329" s="28" t="n">
        <f aca="false">(($D$325*sf*(1+close)*bldg_share+base*sf)/bldg_life)+IF(I$3=1,fit*sf*bonus,0)+fit*sf*(1-bonus)/15</f>
        <v>98133.3333333333</v>
      </c>
      <c r="J329" s="28" t="n">
        <f aca="false">(($D$325*sf*(1+close)*bldg_share+base*sf)/bldg_life)+IF(J$3=1,fit*sf*bonus,0)+fit*sf*(1-bonus)/15</f>
        <v>98133.3333333333</v>
      </c>
      <c r="K329" s="28" t="n">
        <f aca="false">(($D$325*sf*(1+close)*bldg_share+base*sf)/bldg_life)+IF(K$3=1,fit*sf*bonus,0)+fit*sf*(1-bonus)/15</f>
        <v>98133.3333333333</v>
      </c>
      <c r="L329" s="28" t="n">
        <f aca="false">(($D$325*sf*(1+close)*bldg_share+base*sf)/bldg_life)+IF(L$3=1,fit*sf*bonus,0)+fit*sf*(1-bonus)/15</f>
        <v>98133.3333333333</v>
      </c>
      <c r="M329" s="28" t="n">
        <f aca="false">(($D$325*sf*(1+close)*bldg_share+base*sf)/bldg_life)+IF(M$3=1,fit*sf*bonus,0)+fit*sf*(1-bonus)/15</f>
        <v>98133.3333333333</v>
      </c>
    </row>
    <row r="330" customFormat="false" ht="15" hidden="false" customHeight="false" outlineLevel="0" collapsed="false">
      <c r="B330" s="13" t="s">
        <v>218</v>
      </c>
      <c r="C330" s="28" t="n">
        <f aca="false">-($C$326-$E$326-$G$326)-carry_m/12*($E$326*$H$325+$G$326*$J$325+Model!$D$8*sf)*(1-tax)</f>
        <v>-934882.272486667</v>
      </c>
      <c r="D330" s="28" t="n">
        <f aca="false">-((($I$326+$K$326)*12)+Model!D35)+tax*(D328+Model!D35+D329)</f>
        <v>-101304.14469771</v>
      </c>
      <c r="E330" s="28" t="n">
        <f aca="false">-((($I$326+$K$326)*12)+Model!E35)+tax*(E328+Model!E35+E329)</f>
        <v>-685236.771415202</v>
      </c>
      <c r="F330" s="28" t="n">
        <f aca="false">-((($I$326+$K$326)*12)+Model!F35)+tax*(F328+Model!F35+F329)</f>
        <v>-695068.047628171</v>
      </c>
      <c r="G330" s="28" t="n">
        <f aca="false">-((($I$326+$K$326)*12)+Model!G35)+tax*(G328+Model!G35+G329)</f>
        <v>-705244.887823138</v>
      </c>
      <c r="H330" s="28" t="n">
        <f aca="false">-((($I$326+$K$326)*12)+Model!H35)+tax*(H328+Model!H35+H329)</f>
        <v>-715780.775197007</v>
      </c>
      <c r="I330" s="28" t="n">
        <f aca="false">-((($I$326+$K$326)*12)+Model!I35)+tax*(I328+Model!I35+I329)</f>
        <v>-726689.789953186</v>
      </c>
      <c r="J330" s="28" t="n">
        <f aca="false">-((($I$326+$K$326)*12)+Model!J35)+tax*(J328+Model!J35+J329)</f>
        <v>-737986.639145163</v>
      </c>
      <c r="K330" s="28" t="n">
        <f aca="false">-((($I$326+$K$326)*12)+Model!K35)+tax*(K328+Model!K35+K329)</f>
        <v>-749686.688157549</v>
      </c>
      <c r="L330" s="28" t="n">
        <f aca="false">-((($I$326+$K$326)*12)+Model!L35)+tax*(L328+Model!L35+L329)</f>
        <v>-761805.993919992</v>
      </c>
      <c r="M330" s="28" t="n">
        <f aca="false">-((($I$326+$K$326)*12)+Model!M35)+tax*(M328+Model!M35+M329)+($F$325*sf*(1-sale_cost)-M327-tax*($F$325*sf*(1-sale_cost)-($C$326-SUM($C329:$M329))))</f>
        <v>-1357566.94766621</v>
      </c>
    </row>
    <row r="331" customFormat="false" ht="15" hidden="false" customHeight="false" outlineLevel="0" collapsed="false">
      <c r="B331" s="20" t="s">
        <v>219</v>
      </c>
      <c r="C331" s="28" t="n">
        <f aca="false">C330+NPV(disc,D330:M330)</f>
        <v>-5476941.50376512</v>
      </c>
      <c r="D331" s="29" t="n">
        <f aca="false">C331-Model!$D$68</f>
        <v>38325.3618295882</v>
      </c>
    </row>
    <row r="333" customFormat="false" ht="15" hidden="false" customHeight="false" outlineLevel="0" collapsed="false">
      <c r="B333" s="20" t="s">
        <v>260</v>
      </c>
      <c r="C333" s="13" t="s">
        <v>212</v>
      </c>
      <c r="D333" s="26" t="n">
        <f aca="false">Sensitivity!$B$18</f>
        <v>210</v>
      </c>
      <c r="E333" s="13" t="s">
        <v>213</v>
      </c>
      <c r="F333" s="26" t="n">
        <f aca="false">user_val*(1+exit_grow)^10</f>
        <v>243.216063397308</v>
      </c>
      <c r="G333" s="13" t="s">
        <v>214</v>
      </c>
      <c r="H333" s="27" t="n">
        <f aca="false">bank_rate+Sensitivity!D$14</f>
        <v>0.0676</v>
      </c>
      <c r="I333" s="13" t="s">
        <v>215</v>
      </c>
      <c r="J333" s="27" t="n">
        <f aca="false">cdc_rate+Sensitivity!D$14</f>
        <v>0.0604</v>
      </c>
    </row>
    <row r="334" customFormat="false" ht="15" hidden="false" customHeight="false" outlineLevel="0" collapsed="false">
      <c r="B334" s="13" t="s">
        <v>216</v>
      </c>
      <c r="C334" s="28" t="n">
        <f aca="false">$D$333*sf*(1+close)+base*sf+fit*sf</f>
        <v>7419400</v>
      </c>
      <c r="E334" s="28" t="n">
        <f aca="false">C334*bank_pct</f>
        <v>3709700</v>
      </c>
      <c r="G334" s="28" t="n">
        <f aca="false">C334*cdc_pct</f>
        <v>2967760</v>
      </c>
      <c r="I334" s="28" t="n">
        <f aca="false">-PMT($H$333/12,amort*12,E334)</f>
        <v>25654.175067271</v>
      </c>
      <c r="K334" s="28" t="n">
        <f aca="false">-PMT($J$333/12,amort*12,G334)</f>
        <v>19193.9502695403</v>
      </c>
    </row>
    <row r="335" customFormat="false" ht="15" hidden="false" customHeight="false" outlineLevel="0" collapsed="false">
      <c r="B335" s="13" t="s">
        <v>217</v>
      </c>
      <c r="C335" s="28" t="n">
        <f aca="false">-FV($H$333/12,12*C$3,-$I$334,$E$334)-FV($J$333/12,12*C$3,-$K$334,$G$334)</f>
        <v>6677460</v>
      </c>
      <c r="D335" s="28" t="n">
        <f aca="false">-FV($H$333/12,12*D$3,-$I$334,$E$334)-FV($J$333/12,12*D$3,-$K$334,$G$334)</f>
        <v>6566071.02376507</v>
      </c>
      <c r="E335" s="28" t="n">
        <f aca="false">-FV($H$333/12,12*E$3,-$I$334,$E$334)-FV($J$333/12,12*E$3,-$K$334,$G$334)</f>
        <v>6447315.2884297</v>
      </c>
      <c r="F335" s="28" t="n">
        <f aca="false">-FV($H$333/12,12*F$3,-$I$334,$E$334)-FV($J$333/12,12*F$3,-$K$334,$G$334)</f>
        <v>6320703.97260619</v>
      </c>
      <c r="G335" s="28" t="n">
        <f aca="false">-FV($H$333/12,12*G$3,-$I$334,$E$334)-FV($J$333/12,12*G$3,-$K$334,$G$334)</f>
        <v>6185715.71324282</v>
      </c>
      <c r="H335" s="28" t="n">
        <f aca="false">-FV($H$333/12,12*H$3,-$I$334,$E$334)-FV($J$333/12,12*H$3,-$K$334,$G$334)</f>
        <v>6041794.43235809</v>
      </c>
      <c r="I335" s="28" t="n">
        <f aca="false">-FV($H$333/12,12*I$3,-$I$334,$E$334)-FV($J$333/12,12*I$3,-$K$334,$G$334)</f>
        <v>5888347.01818562</v>
      </c>
      <c r="J335" s="28" t="n">
        <f aca="false">-FV($H$333/12,12*J$3,-$I$334,$E$334)-FV($J$333/12,12*J$3,-$K$334,$G$334)</f>
        <v>5724740.85094761</v>
      </c>
      <c r="K335" s="28" t="n">
        <f aca="false">-FV($H$333/12,12*K$3,-$I$334,$E$334)-FV($J$333/12,12*K$3,-$K$334,$G$334)</f>
        <v>5550301.16281508</v>
      </c>
      <c r="L335" s="28" t="n">
        <f aca="false">-FV($H$333/12,12*L$3,-$I$334,$E$334)-FV($J$333/12,12*L$3,-$K$334,$G$334)</f>
        <v>5364308.2209099</v>
      </c>
      <c r="M335" s="28" t="n">
        <f aca="false">-FV($H$333/12,12*M$3,-$I$334,$E$334)-FV($J$333/12,12*M$3,-$K$334,$G$334)</f>
        <v>5165994.32145204</v>
      </c>
    </row>
    <row r="336" customFormat="false" ht="15" hidden="false" customHeight="false" outlineLevel="0" collapsed="false">
      <c r="B336" s="13" t="s">
        <v>169</v>
      </c>
      <c r="C336" s="28" t="n">
        <v>0</v>
      </c>
      <c r="D336" s="28" t="n">
        <f aca="false">(($I$334+$K$334)*12)-(C335-D335)</f>
        <v>426788.527806804</v>
      </c>
      <c r="E336" s="28" t="n">
        <f aca="false">(($I$334+$K$334)*12)-(D335-E335)</f>
        <v>419421.768706366</v>
      </c>
      <c r="F336" s="28" t="n">
        <f aca="false">(($I$334+$K$334)*12)-(E335-F335)</f>
        <v>411566.188218226</v>
      </c>
      <c r="G336" s="28" t="n">
        <f aca="false">(($I$334+$K$334)*12)-(F335-G335)</f>
        <v>403189.24467837</v>
      </c>
      <c r="H336" s="28" t="n">
        <f aca="false">(($I$334+$K$334)*12)-(G335-H335)</f>
        <v>394256.223156999</v>
      </c>
      <c r="I336" s="28" t="n">
        <f aca="false">(($I$334+$K$334)*12)-(H335-I335)</f>
        <v>384730.08986927</v>
      </c>
      <c r="J336" s="28" t="n">
        <f aca="false">(($I$334+$K$334)*12)-(I335-J335)</f>
        <v>374571.336803725</v>
      </c>
      <c r="K336" s="28" t="n">
        <f aca="false">(($I$334+$K$334)*12)-(J335-K335)</f>
        <v>363737.815909203</v>
      </c>
      <c r="L336" s="28" t="n">
        <f aca="false">(($I$334+$K$334)*12)-(K335-L335)</f>
        <v>352184.562136557</v>
      </c>
      <c r="M336" s="28" t="n">
        <f aca="false">(($I$334+$K$334)*12)-(L335-M335)</f>
        <v>339863.604583876</v>
      </c>
    </row>
    <row r="337" customFormat="false" ht="15" hidden="false" customHeight="false" outlineLevel="0" collapsed="false">
      <c r="B337" s="13" t="s">
        <v>171</v>
      </c>
      <c r="C337" s="28" t="n">
        <v>0</v>
      </c>
      <c r="D337" s="28" t="n">
        <f aca="false">(($D$333*sf*(1+close)*bldg_share+base*sf)/bldg_life)+IF(D$3=1,fit*sf*bonus,0)+fit*sf*(1-bonus)/15</f>
        <v>2833533.33333333</v>
      </c>
      <c r="E337" s="28" t="n">
        <f aca="false">(($D$333*sf*(1+close)*bldg_share+base*sf)/bldg_life)+IF(E$3=1,fit*sf*bonus,0)+fit*sf*(1-bonus)/15</f>
        <v>98133.3333333333</v>
      </c>
      <c r="F337" s="28" t="n">
        <f aca="false">(($D$333*sf*(1+close)*bldg_share+base*sf)/bldg_life)+IF(F$3=1,fit*sf*bonus,0)+fit*sf*(1-bonus)/15</f>
        <v>98133.3333333333</v>
      </c>
      <c r="G337" s="28" t="n">
        <f aca="false">(($D$333*sf*(1+close)*bldg_share+base*sf)/bldg_life)+IF(G$3=1,fit*sf*bonus,0)+fit*sf*(1-bonus)/15</f>
        <v>98133.3333333333</v>
      </c>
      <c r="H337" s="28" t="n">
        <f aca="false">(($D$333*sf*(1+close)*bldg_share+base*sf)/bldg_life)+IF(H$3=1,fit*sf*bonus,0)+fit*sf*(1-bonus)/15</f>
        <v>98133.3333333333</v>
      </c>
      <c r="I337" s="28" t="n">
        <f aca="false">(($D$333*sf*(1+close)*bldg_share+base*sf)/bldg_life)+IF(I$3=1,fit*sf*bonus,0)+fit*sf*(1-bonus)/15</f>
        <v>98133.3333333333</v>
      </c>
      <c r="J337" s="28" t="n">
        <f aca="false">(($D$333*sf*(1+close)*bldg_share+base*sf)/bldg_life)+IF(J$3=1,fit*sf*bonus,0)+fit*sf*(1-bonus)/15</f>
        <v>98133.3333333333</v>
      </c>
      <c r="K337" s="28" t="n">
        <f aca="false">(($D$333*sf*(1+close)*bldg_share+base*sf)/bldg_life)+IF(K$3=1,fit*sf*bonus,0)+fit*sf*(1-bonus)/15</f>
        <v>98133.3333333333</v>
      </c>
      <c r="L337" s="28" t="n">
        <f aca="false">(($D$333*sf*(1+close)*bldg_share+base*sf)/bldg_life)+IF(L$3=1,fit*sf*bonus,0)+fit*sf*(1-bonus)/15</f>
        <v>98133.3333333333</v>
      </c>
      <c r="M337" s="28" t="n">
        <f aca="false">(($D$333*sf*(1+close)*bldg_share+base*sf)/bldg_life)+IF(M$3=1,fit*sf*bonus,0)+fit*sf*(1-bonus)/15</f>
        <v>98133.3333333333</v>
      </c>
    </row>
    <row r="338" customFormat="false" ht="15" hidden="false" customHeight="false" outlineLevel="0" collapsed="false">
      <c r="B338" s="13" t="s">
        <v>218</v>
      </c>
      <c r="C338" s="28" t="n">
        <f aca="false">-($C$334-$E$334-$G$334)-carry_m/12*($E$334*$H$333+$G$334*$J$333+Model!$D$8*sf)*(1-tax)</f>
        <v>-943674.261486667</v>
      </c>
      <c r="D338" s="28" t="n">
        <f aca="false">-((($I$334+$K$334)*12)+Model!D35)+tax*(D336+Model!D35+D337)</f>
        <v>-118990.242702307</v>
      </c>
      <c r="E338" s="28" t="n">
        <f aca="false">-((($I$334+$K$334)*12)+Model!E35)+tax*(E336+Model!E35+E337)</f>
        <v>-702935.671998399</v>
      </c>
      <c r="F338" s="28" t="n">
        <f aca="false">-((($I$334+$K$334)*12)+Model!F35)+tax*(F336+Model!F35+F337)</f>
        <v>-712788.686082458</v>
      </c>
      <c r="G338" s="28" t="n">
        <f aca="false">-((($I$334+$K$334)*12)+Model!G35)+tax*(G336+Model!G35+G337)</f>
        <v>-722997.286672824</v>
      </c>
      <c r="H338" s="28" t="n">
        <f aca="false">-((($I$334+$K$334)*12)+Model!H35)+tax*(H336+Model!H35+H337)</f>
        <v>-733576.146912719</v>
      </c>
      <c r="I338" s="28" t="n">
        <f aca="false">-((($I$334+$K$334)*12)+Model!I35)+tax*(I336+Model!I35+I337)</f>
        <v>-744540.64839516</v>
      </c>
      <c r="J338" s="28" t="n">
        <f aca="false">-((($I$334+$K$334)*12)+Model!J35)+tax*(J336+Model!J35+J337)</f>
        <v>-755906.920435704</v>
      </c>
      <c r="K338" s="28" t="n">
        <f aca="false">-((($I$334+$K$334)*12)+Model!K35)+tax*(K336+Model!K35+K337)</f>
        <v>-767691.881737236</v>
      </c>
      <c r="L338" s="28" t="n">
        <f aca="false">-((($I$334+$K$334)*12)+Model!L35)+tax*(L336+Model!L35+L337)</f>
        <v>-779913.284600585</v>
      </c>
      <c r="M338" s="28" t="n">
        <f aca="false">-((($I$334+$K$334)*12)+Model!M35)+tax*(M336+Model!M35+M337)+($F$333*sf*(1-sale_cost)-M335-tax*($F$333*sf*(1-sale_cost)-($C$334-SUM($C337:$M337))))</f>
        <v>-1453494.69566978</v>
      </c>
    </row>
    <row r="339" customFormat="false" ht="15" hidden="false" customHeight="false" outlineLevel="0" collapsed="false">
      <c r="B339" s="20" t="s">
        <v>219</v>
      </c>
      <c r="C339" s="28" t="n">
        <f aca="false">C338+NPV(disc,D338:M338)</f>
        <v>-5641434.74053739</v>
      </c>
      <c r="D339" s="29" t="n">
        <f aca="false">C339-Model!$D$68</f>
        <v>-126167.874942685</v>
      </c>
    </row>
    <row r="341" customFormat="false" ht="15" hidden="false" customHeight="false" outlineLevel="0" collapsed="false">
      <c r="B341" s="20" t="s">
        <v>261</v>
      </c>
      <c r="C341" s="13" t="s">
        <v>212</v>
      </c>
      <c r="D341" s="26" t="n">
        <f aca="false">Sensitivity!$B$18</f>
        <v>210</v>
      </c>
      <c r="E341" s="13" t="s">
        <v>213</v>
      </c>
      <c r="F341" s="26" t="n">
        <f aca="false">user_val*(1+exit_grow)^10</f>
        <v>243.216063397308</v>
      </c>
      <c r="G341" s="13" t="s">
        <v>214</v>
      </c>
      <c r="H341" s="27" t="n">
        <f aca="false">bank_rate+Sensitivity!E$14</f>
        <v>0.0726</v>
      </c>
      <c r="I341" s="13" t="s">
        <v>215</v>
      </c>
      <c r="J341" s="27" t="n">
        <f aca="false">cdc_rate+Sensitivity!E$14</f>
        <v>0.0654</v>
      </c>
    </row>
    <row r="342" customFormat="false" ht="15" hidden="false" customHeight="false" outlineLevel="0" collapsed="false">
      <c r="B342" s="13" t="s">
        <v>216</v>
      </c>
      <c r="C342" s="28" t="n">
        <f aca="false">$D$341*sf*(1+close)+base*sf+fit*sf</f>
        <v>7419400</v>
      </c>
      <c r="E342" s="28" t="n">
        <f aca="false">C342*bank_pct</f>
        <v>3709700</v>
      </c>
      <c r="G342" s="28" t="n">
        <f aca="false">C342*cdc_pct</f>
        <v>2967760</v>
      </c>
      <c r="I342" s="28" t="n">
        <f aca="false">-PMT($H$341/12,amort*12,E342)</f>
        <v>26837.8710736522</v>
      </c>
      <c r="K342" s="28" t="n">
        <f aca="false">-PMT($J$341/12,amort*12,G342)</f>
        <v>20112.769194219</v>
      </c>
    </row>
    <row r="343" customFormat="false" ht="15" hidden="false" customHeight="false" outlineLevel="0" collapsed="false">
      <c r="B343" s="13" t="s">
        <v>217</v>
      </c>
      <c r="C343" s="28" t="n">
        <f aca="false">-FV($H$341/12,12*C$3,-$I$342,$E$342)-FV($J$341/12,12*C$3,-$K$342,$G$342)</f>
        <v>6677460</v>
      </c>
      <c r="D343" s="28" t="n">
        <f aca="false">-FV($H$341/12,12*D$3,-$I$342,$E$342)-FV($J$341/12,12*D$3,-$K$342,$G$342)</f>
        <v>6574234.84673514</v>
      </c>
      <c r="E343" s="28" t="n">
        <f aca="false">-FV($H$341/12,12*E$3,-$I$342,$E$342)-FV($J$341/12,12*E$3,-$K$342,$G$342)</f>
        <v>6463634.58305879</v>
      </c>
      <c r="F343" s="28" t="n">
        <f aca="false">-FV($H$341/12,12*F$3,-$I$342,$E$342)-FV($J$341/12,12*F$3,-$K$342,$G$342)</f>
        <v>6345130.76784404</v>
      </c>
      <c r="G343" s="28" t="n">
        <f aca="false">-FV($H$341/12,12*G$3,-$I$342,$E$342)-FV($J$341/12,12*G$3,-$K$342,$G$342)</f>
        <v>6218156.98899736</v>
      </c>
      <c r="H343" s="28" t="n">
        <f aca="false">-FV($H$341/12,12*H$3,-$I$342,$E$342)-FV($J$341/12,12*H$3,-$K$342,$G$342)</f>
        <v>6082106.12750346</v>
      </c>
      <c r="I343" s="28" t="n">
        <f aca="false">-FV($H$341/12,12*I$3,-$I$342,$E$342)-FV($J$341/12,12*I$3,-$K$342,$G$342)</f>
        <v>5936327.42380137</v>
      </c>
      <c r="J343" s="28" t="n">
        <f aca="false">-FV($H$341/12,12*J$3,-$I$342,$E$342)-FV($J$341/12,12*J$3,-$K$342,$G$342)</f>
        <v>5780123.33217316</v>
      </c>
      <c r="K343" s="28" t="n">
        <f aca="false">-FV($H$341/12,12*K$3,-$I$342,$E$342)-FV($J$341/12,12*K$3,-$K$342,$G$342)</f>
        <v>5612746.14778683</v>
      </c>
      <c r="L343" s="28" t="n">
        <f aca="false">-FV($H$341/12,12*L$3,-$I$342,$E$342)-FV($J$341/12,12*L$3,-$K$342,$G$342)</f>
        <v>5433394.38991929</v>
      </c>
      <c r="M343" s="28" t="n">
        <f aca="false">-FV($H$341/12,12*M$3,-$I$342,$E$342)-FV($J$341/12,12*M$3,-$K$342,$G$342)</f>
        <v>5241208.92368876</v>
      </c>
    </row>
    <row r="344" customFormat="false" ht="15" hidden="false" customHeight="false" outlineLevel="0" collapsed="false">
      <c r="B344" s="13" t="s">
        <v>169</v>
      </c>
      <c r="C344" s="28" t="n">
        <v>0</v>
      </c>
      <c r="D344" s="28" t="n">
        <f aca="false">(($I$342+$K$342)*12)-(C343-D343)</f>
        <v>460182.529949593</v>
      </c>
      <c r="E344" s="28" t="n">
        <f aca="false">(($I$342+$K$342)*12)-(D343-E343)</f>
        <v>452807.419538109</v>
      </c>
      <c r="F344" s="28" t="n">
        <f aca="false">(($I$342+$K$342)*12)-(E343-F343)</f>
        <v>444903.867999698</v>
      </c>
      <c r="G344" s="28" t="n">
        <f aca="false">(($I$342+$K$342)*12)-(F343-G343)</f>
        <v>436433.904367777</v>
      </c>
      <c r="H344" s="28" t="n">
        <f aca="false">(($I$342+$K$342)*12)-(G343-H343)</f>
        <v>427356.82172056</v>
      </c>
      <c r="I344" s="28" t="n">
        <f aca="false">(($I$342+$K$342)*12)-(H343-I343)</f>
        <v>417628.979512364</v>
      </c>
      <c r="J344" s="28" t="n">
        <f aca="false">(($I$342+$K$342)*12)-(I343-J343)</f>
        <v>407203.591586242</v>
      </c>
      <c r="K344" s="28" t="n">
        <f aca="false">(($I$342+$K$342)*12)-(J343-K343)</f>
        <v>396030.498828119</v>
      </c>
      <c r="L344" s="28" t="n">
        <f aca="false">(($I$342+$K$342)*12)-(K343-L343)</f>
        <v>384055.925346918</v>
      </c>
      <c r="M344" s="28" t="n">
        <f aca="false">(($I$342+$K$342)*12)-(L343-M343)</f>
        <v>371222.216983929</v>
      </c>
    </row>
    <row r="345" customFormat="false" ht="15" hidden="false" customHeight="false" outlineLevel="0" collapsed="false">
      <c r="B345" s="13" t="s">
        <v>171</v>
      </c>
      <c r="C345" s="28" t="n">
        <v>0</v>
      </c>
      <c r="D345" s="28" t="n">
        <f aca="false">(($D$341*sf*(1+close)*bldg_share+base*sf)/bldg_life)+IF(D$3=1,fit*sf*bonus,0)+fit*sf*(1-bonus)/15</f>
        <v>2833533.33333333</v>
      </c>
      <c r="E345" s="28" t="n">
        <f aca="false">(($D$341*sf*(1+close)*bldg_share+base*sf)/bldg_life)+IF(E$3=1,fit*sf*bonus,0)+fit*sf*(1-bonus)/15</f>
        <v>98133.3333333333</v>
      </c>
      <c r="F345" s="28" t="n">
        <f aca="false">(($D$341*sf*(1+close)*bldg_share+base*sf)/bldg_life)+IF(F$3=1,fit*sf*bonus,0)+fit*sf*(1-bonus)/15</f>
        <v>98133.3333333333</v>
      </c>
      <c r="G345" s="28" t="n">
        <f aca="false">(($D$341*sf*(1+close)*bldg_share+base*sf)/bldg_life)+IF(G$3=1,fit*sf*bonus,0)+fit*sf*(1-bonus)/15</f>
        <v>98133.3333333333</v>
      </c>
      <c r="H345" s="28" t="n">
        <f aca="false">(($D$341*sf*(1+close)*bldg_share+base*sf)/bldg_life)+IF(H$3=1,fit*sf*bonus,0)+fit*sf*(1-bonus)/15</f>
        <v>98133.3333333333</v>
      </c>
      <c r="I345" s="28" t="n">
        <f aca="false">(($D$341*sf*(1+close)*bldg_share+base*sf)/bldg_life)+IF(I$3=1,fit*sf*bonus,0)+fit*sf*(1-bonus)/15</f>
        <v>98133.3333333333</v>
      </c>
      <c r="J345" s="28" t="n">
        <f aca="false">(($D$341*sf*(1+close)*bldg_share+base*sf)/bldg_life)+IF(J$3=1,fit*sf*bonus,0)+fit*sf*(1-bonus)/15</f>
        <v>98133.3333333333</v>
      </c>
      <c r="K345" s="28" t="n">
        <f aca="false">(($D$341*sf*(1+close)*bldg_share+base*sf)/bldg_life)+IF(K$3=1,fit*sf*bonus,0)+fit*sf*(1-bonus)/15</f>
        <v>98133.3333333333</v>
      </c>
      <c r="L345" s="28" t="n">
        <f aca="false">(($D$341*sf*(1+close)*bldg_share+base*sf)/bldg_life)+IF(L$3=1,fit*sf*bonus,0)+fit*sf*(1-bonus)/15</f>
        <v>98133.3333333333</v>
      </c>
      <c r="M345" s="28" t="n">
        <f aca="false">(($D$341*sf*(1+close)*bldg_share+base*sf)/bldg_life)+IF(M$3=1,fit*sf*bonus,0)+fit*sf*(1-bonus)/15</f>
        <v>98133.3333333333</v>
      </c>
    </row>
    <row r="346" customFormat="false" ht="15" hidden="false" customHeight="false" outlineLevel="0" collapsed="false">
      <c r="B346" s="13" t="s">
        <v>218</v>
      </c>
      <c r="C346" s="28" t="n">
        <f aca="false">-($C$342-$E$342-$G$342)-carry_m/12*($E$342*$H$341+$G$342*$J$341+Model!$D$8*sf)*(1-tax)</f>
        <v>-952466.250486667</v>
      </c>
      <c r="D346" s="28" t="n">
        <f aca="false">-((($I$342+$K$342)*12)+Model!D35)+tax*(D344+Model!D35+D345)</f>
        <v>-137207.68142504</v>
      </c>
      <c r="E346" s="28" t="n">
        <f aca="false">-((($I$342+$K$342)*12)+Model!E35)+tax*(E344+Model!E35+E345)</f>
        <v>-721154.864496452</v>
      </c>
      <c r="F346" s="28" t="n">
        <f aca="false">-((($I$342+$K$342)*12)+Model!F35)+tax*(F344+Model!F35+F345)</f>
        <v>-731017.952501068</v>
      </c>
      <c r="G346" s="28" t="n">
        <f aca="false">-((($I$342+$K$342)*12)+Model!G35)+tax*(G344+Model!G35+G345)</f>
        <v>-741246.087310768</v>
      </c>
      <c r="H346" s="28" t="n">
        <f aca="false">-((($I$342+$K$342)*12)+Model!H35)+tax*(H344+Model!H35+H345)</f>
        <v>-751855.20038709</v>
      </c>
      <c r="I346" s="28" t="n">
        <f aca="false">-((($I$342+$K$342)*12)+Model!I35)+tax*(I344+Model!I35+I345)</f>
        <v>-762862.06074283</v>
      </c>
      <c r="J346" s="28" t="n">
        <f aca="false">-((($I$342+$K$342)*12)+Model!J35)+tax*(J344+Model!J35+J345)</f>
        <v>-774284.326104095</v>
      </c>
      <c r="K346" s="28" t="n">
        <f aca="false">-((($I$342+$K$342)*12)+Model!K35)+tax*(K344+Model!K35+K345)</f>
        <v>-786140.597496983</v>
      </c>
      <c r="L346" s="28" t="n">
        <f aca="false">-((($I$342+$K$342)*12)+Model!L35)+tax*(L344+Model!L35+L345)</f>
        <v>-798450.477499128</v>
      </c>
      <c r="M346" s="28" t="n">
        <f aca="false">-((($I$342+$K$342)*12)+Model!M35)+tax*(M344+Model!M35+M345)+($F$341*sf*(1-sale_cost)-M343-tax*($F$341*sf*(1-sale_cost)-($C$342-SUM($C345:$M345))))</f>
        <v>-1547354.16847521</v>
      </c>
    </row>
    <row r="347" customFormat="false" ht="15" hidden="false" customHeight="false" outlineLevel="0" collapsed="false">
      <c r="B347" s="20" t="s">
        <v>219</v>
      </c>
      <c r="C347" s="28" t="n">
        <f aca="false">C346+NPV(disc,D346:M346)</f>
        <v>-5808023.77123407</v>
      </c>
      <c r="D347" s="29" t="n">
        <f aca="false">C347-Model!$D$68</f>
        <v>-292756.905639365</v>
      </c>
    </row>
    <row r="349" customFormat="false" ht="15" hidden="false" customHeight="false" outlineLevel="0" collapsed="false">
      <c r="B349" s="20" t="s">
        <v>262</v>
      </c>
      <c r="C349" s="13" t="s">
        <v>212</v>
      </c>
      <c r="D349" s="26" t="n">
        <f aca="false">Sensitivity!$B$18</f>
        <v>210</v>
      </c>
      <c r="E349" s="13" t="s">
        <v>213</v>
      </c>
      <c r="F349" s="26" t="n">
        <f aca="false">user_val*(1+exit_grow)^10</f>
        <v>243.216063397308</v>
      </c>
      <c r="G349" s="13" t="s">
        <v>214</v>
      </c>
      <c r="H349" s="27" t="n">
        <f aca="false">bank_rate+Sensitivity!F$14</f>
        <v>0.0776</v>
      </c>
      <c r="I349" s="13" t="s">
        <v>215</v>
      </c>
      <c r="J349" s="27" t="n">
        <f aca="false">cdc_rate+Sensitivity!F$14</f>
        <v>0.0704</v>
      </c>
    </row>
    <row r="350" customFormat="false" ht="15" hidden="false" customHeight="false" outlineLevel="0" collapsed="false">
      <c r="B350" s="13" t="s">
        <v>216</v>
      </c>
      <c r="C350" s="28" t="n">
        <f aca="false">$D$349*sf*(1+close)+base*sf+fit*sf</f>
        <v>7419400</v>
      </c>
      <c r="E350" s="28" t="n">
        <f aca="false">C350*bank_pct</f>
        <v>3709700</v>
      </c>
      <c r="G350" s="28" t="n">
        <f aca="false">C350*cdc_pct</f>
        <v>2967760</v>
      </c>
      <c r="I350" s="28" t="n">
        <f aca="false">-PMT($H$349/12,amort*12,E350)</f>
        <v>28044.7905952146</v>
      </c>
      <c r="K350" s="28" t="n">
        <f aca="false">-PMT($J$349/12,amort*12,G350)</f>
        <v>21051.2998219695</v>
      </c>
    </row>
    <row r="351" customFormat="false" ht="15" hidden="false" customHeight="false" outlineLevel="0" collapsed="false">
      <c r="B351" s="13" t="s">
        <v>217</v>
      </c>
      <c r="C351" s="28" t="n">
        <f aca="false">-FV($H$349/12,12*C$3,-$I$350,$E$350)-FV($J$349/12,12*C$3,-$K$350,$G$350)</f>
        <v>6677460</v>
      </c>
      <c r="D351" s="28" t="n">
        <f aca="false">-FV($H$349/12,12*D$3,-$I$350,$E$350)-FV($J$349/12,12*D$3,-$K$350,$G$350)</f>
        <v>6581903.72642819</v>
      </c>
      <c r="E351" s="28" t="n">
        <f aca="false">-FV($H$349/12,12*E$3,-$I$350,$E$350)-FV($J$349/12,12*E$3,-$K$350,$G$350)</f>
        <v>6479010.39974893</v>
      </c>
      <c r="F351" s="28" t="n">
        <f aca="false">-FV($H$349/12,12*F$3,-$I$350,$E$350)-FV($J$349/12,12*F$3,-$K$350,$G$350)</f>
        <v>6368215.24902576</v>
      </c>
      <c r="G351" s="28" t="n">
        <f aca="false">-FV($H$349/12,12*G$3,-$I$350,$E$350)-FV($J$349/12,12*G$3,-$K$350,$G$350)</f>
        <v>6248909.92233547</v>
      </c>
      <c r="H351" s="28" t="n">
        <f aca="false">-FV($H$349/12,12*H$3,-$I$350,$E$350)-FV($J$349/12,12*H$3,-$K$350,$G$350)</f>
        <v>6120439.11562954</v>
      </c>
      <c r="I351" s="28" t="n">
        <f aca="false">-FV($H$349/12,12*I$3,-$I$350,$E$350)-FV($J$349/12,12*I$3,-$K$350,$G$350)</f>
        <v>5982096.94020667</v>
      </c>
      <c r="J351" s="28" t="n">
        <f aca="false">-FV($H$349/12,12*J$3,-$I$350,$E$350)-FV($J$349/12,12*J$3,-$K$350,$G$350)</f>
        <v>5833123.00848222</v>
      </c>
      <c r="K351" s="28" t="n">
        <f aca="false">-FV($H$349/12,12*K$3,-$I$350,$E$350)-FV($J$349/12,12*K$3,-$K$350,$G$350)</f>
        <v>5672698.21615806</v>
      </c>
      <c r="L351" s="28" t="n">
        <f aca="false">-FV($H$349/12,12*L$3,-$I$350,$E$350)-FV($J$349/12,12*L$3,-$K$350,$G$350)</f>
        <v>5499940.19719046</v>
      </c>
      <c r="M351" s="28" t="n">
        <f aca="false">-FV($H$349/12,12*M$3,-$I$350,$E$350)-FV($J$349/12,12*M$3,-$K$350,$G$350)</f>
        <v>5313898.42611477</v>
      </c>
    </row>
    <row r="352" customFormat="false" ht="15" hidden="false" customHeight="false" outlineLevel="0" collapsed="false">
      <c r="B352" s="13" t="s">
        <v>169</v>
      </c>
      <c r="C352" s="28" t="n">
        <v>0</v>
      </c>
      <c r="D352" s="28" t="n">
        <f aca="false">(($I$350+$K$350)*12)-(C351-D351)</f>
        <v>493596.811434401</v>
      </c>
      <c r="E352" s="28" t="n">
        <f aca="false">(($I$350+$K$350)*12)-(D351-E351)</f>
        <v>486259.758326946</v>
      </c>
      <c r="F352" s="28" t="n">
        <f aca="false">(($I$350+$K$350)*12)-(E351-F351)</f>
        <v>478357.934283035</v>
      </c>
      <c r="G352" s="28" t="n">
        <f aca="false">(($I$350+$K$350)*12)-(F351-G351)</f>
        <v>469847.758315922</v>
      </c>
      <c r="H352" s="28" t="n">
        <f aca="false">(($I$350+$K$350)*12)-(G351-H351)</f>
        <v>460682.278300282</v>
      </c>
      <c r="I352" s="28" t="n">
        <f aca="false">(($I$350+$K$350)*12)-(H351-I351)</f>
        <v>450810.909583336</v>
      </c>
      <c r="J352" s="28" t="n">
        <f aca="false">(($I$350+$K$350)*12)-(I351-J351)</f>
        <v>440179.15328176</v>
      </c>
      <c r="K352" s="28" t="n">
        <f aca="false">(($I$350+$K$350)*12)-(J351-K351)</f>
        <v>428728.292682051</v>
      </c>
      <c r="L352" s="28" t="n">
        <f aca="false">(($I$350+$K$350)*12)-(K351-L351)</f>
        <v>416395.06603861</v>
      </c>
      <c r="M352" s="28" t="n">
        <f aca="false">(($I$350+$K$350)*12)-(L351-M351)</f>
        <v>403111.313930513</v>
      </c>
    </row>
    <row r="353" customFormat="false" ht="15" hidden="false" customHeight="false" outlineLevel="0" collapsed="false">
      <c r="B353" s="13" t="s">
        <v>171</v>
      </c>
      <c r="C353" s="28" t="n">
        <v>0</v>
      </c>
      <c r="D353" s="28" t="n">
        <f aca="false">(($D$349*sf*(1+close)*bldg_share+base*sf)/bldg_life)+IF(D$3=1,fit*sf*bonus,0)+fit*sf*(1-bonus)/15</f>
        <v>2833533.33333333</v>
      </c>
      <c r="E353" s="28" t="n">
        <f aca="false">(($D$349*sf*(1+close)*bldg_share+base*sf)/bldg_life)+IF(E$3=1,fit*sf*bonus,0)+fit*sf*(1-bonus)/15</f>
        <v>98133.3333333333</v>
      </c>
      <c r="F353" s="28" t="n">
        <f aca="false">(($D$349*sf*(1+close)*bldg_share+base*sf)/bldg_life)+IF(F$3=1,fit*sf*bonus,0)+fit*sf*(1-bonus)/15</f>
        <v>98133.3333333333</v>
      </c>
      <c r="G353" s="28" t="n">
        <f aca="false">(($D$349*sf*(1+close)*bldg_share+base*sf)/bldg_life)+IF(G$3=1,fit*sf*bonus,0)+fit*sf*(1-bonus)/15</f>
        <v>98133.3333333333</v>
      </c>
      <c r="H353" s="28" t="n">
        <f aca="false">(($D$349*sf*(1+close)*bldg_share+base*sf)/bldg_life)+IF(H$3=1,fit*sf*bonus,0)+fit*sf*(1-bonus)/15</f>
        <v>98133.3333333333</v>
      </c>
      <c r="I353" s="28" t="n">
        <f aca="false">(($D$349*sf*(1+close)*bldg_share+base*sf)/bldg_life)+IF(I$3=1,fit*sf*bonus,0)+fit*sf*(1-bonus)/15</f>
        <v>98133.3333333333</v>
      </c>
      <c r="J353" s="28" t="n">
        <f aca="false">(($D$349*sf*(1+close)*bldg_share+base*sf)/bldg_life)+IF(J$3=1,fit*sf*bonus,0)+fit*sf*(1-bonus)/15</f>
        <v>98133.3333333333</v>
      </c>
      <c r="K353" s="28" t="n">
        <f aca="false">(($D$349*sf*(1+close)*bldg_share+base*sf)/bldg_life)+IF(K$3=1,fit*sf*bonus,0)+fit*sf*(1-bonus)/15</f>
        <v>98133.3333333333</v>
      </c>
      <c r="L353" s="28" t="n">
        <f aca="false">(($D$349*sf*(1+close)*bldg_share+base*sf)/bldg_life)+IF(L$3=1,fit*sf*bonus,0)+fit*sf*(1-bonus)/15</f>
        <v>98133.3333333333</v>
      </c>
      <c r="M353" s="28" t="n">
        <f aca="false">(($D$349*sf*(1+close)*bldg_share+base*sf)/bldg_life)+IF(M$3=1,fit*sf*bonus,0)+fit*sf*(1-bonus)/15</f>
        <v>98133.3333333333</v>
      </c>
    </row>
    <row r="354" customFormat="false" ht="15" hidden="false" customHeight="false" outlineLevel="0" collapsed="false">
      <c r="B354" s="13" t="s">
        <v>218</v>
      </c>
      <c r="C354" s="28" t="n">
        <f aca="false">-($C$350-$E$350-$G$350)-carry_m/12*($E$350*$H$349+$G$350*$J$349+Model!$D$8*sf)*(1-tax)</f>
        <v>-961258.239486667</v>
      </c>
      <c r="D354" s="28" t="n">
        <f aca="false">-((($I$350+$K$350)*12)+Model!D35)+tax*(D352+Model!D35+D353)</f>
        <v>-155936.084104985</v>
      </c>
      <c r="E354" s="28" t="n">
        <f aca="false">-((($I$350+$K$350)*12)+Model!E35)+tax*(E352+Model!E35+E353)</f>
        <v>-739875.27514255</v>
      </c>
      <c r="F354" s="28" t="n">
        <f aca="false">-((($I$350+$K$350)*12)+Model!F35)+tax*(F352+Model!F35+F353)</f>
        <v>-749738.000373322</v>
      </c>
      <c r="G354" s="28" t="n">
        <f aca="false">-((($I$350+$K$350)*12)+Model!G35)+tax*(G352+Model!G35+G353)</f>
        <v>-759974.579773412</v>
      </c>
      <c r="H354" s="28" t="n">
        <f aca="false">-((($I$350+$K$350)*12)+Model!H35)+tax*(H352+Model!H35+H353)</f>
        <v>-770602.256297102</v>
      </c>
      <c r="I354" s="28" t="n">
        <f aca="false">-((($I$350+$K$350)*12)+Model!I35)+tax*(I352+Model!I35+I353)</f>
        <v>-781639.25721968</v>
      </c>
      <c r="J354" s="28" t="n">
        <f aca="false">-((($I$350+$K$350)*12)+Model!J35)+tax*(J352+Model!J35+J353)</f>
        <v>-793104.85993979</v>
      </c>
      <c r="K354" s="28" t="n">
        <f aca="false">-((($I$350+$K$350)*12)+Model!K35)+tax*(K352+Model!K35+K353)</f>
        <v>-805019.462579411</v>
      </c>
      <c r="L354" s="28" t="n">
        <f aca="false">-((($I$350+$K$350)*12)+Model!L35)+tax*(L352+Model!L35+L353)</f>
        <v>-817404.659745627</v>
      </c>
      <c r="M354" s="28" t="n">
        <f aca="false">-((($I$350+$K$350)*12)+Model!M35)+tax*(M352+Model!M35+M353)+($F$349*sf*(1-sale_cost)-M351-tax*($F$349*sf*(1-sale_cost)-($C$350-SUM($C353:$M353))))</f>
        <v>-1639092.36233418</v>
      </c>
    </row>
    <row r="355" customFormat="false" ht="15" hidden="false" customHeight="false" outlineLevel="0" collapsed="false">
      <c r="B355" s="20" t="s">
        <v>219</v>
      </c>
      <c r="C355" s="28" t="n">
        <f aca="false">C354+NPV(disc,D354:M354)</f>
        <v>-5976580.54556313</v>
      </c>
      <c r="D355" s="29" t="n">
        <f aca="false">C355-Model!$D$68</f>
        <v>-461313.679968425</v>
      </c>
    </row>
    <row r="357" customFormat="false" ht="15" hidden="false" customHeight="false" outlineLevel="0" collapsed="false">
      <c r="B357" s="20" t="s">
        <v>263</v>
      </c>
      <c r="C357" s="13" t="s">
        <v>212</v>
      </c>
      <c r="D357" s="26" t="n">
        <f aca="false">Sensitivity!$B$18</f>
        <v>210</v>
      </c>
      <c r="E357" s="13" t="s">
        <v>213</v>
      </c>
      <c r="F357" s="26" t="n">
        <f aca="false">user_val*(1+exit_grow)^10</f>
        <v>243.216063397308</v>
      </c>
      <c r="G357" s="13" t="s">
        <v>214</v>
      </c>
      <c r="H357" s="27" t="n">
        <f aca="false">bank_rate+Sensitivity!G$14</f>
        <v>0.0826</v>
      </c>
      <c r="I357" s="13" t="s">
        <v>215</v>
      </c>
      <c r="J357" s="27" t="n">
        <f aca="false">cdc_rate+Sensitivity!G$14</f>
        <v>0.0754</v>
      </c>
    </row>
    <row r="358" customFormat="false" ht="15" hidden="false" customHeight="false" outlineLevel="0" collapsed="false">
      <c r="B358" s="13" t="s">
        <v>216</v>
      </c>
      <c r="C358" s="28" t="n">
        <f aca="false">$D$357*sf*(1+close)+base*sf+fit*sf</f>
        <v>7419400</v>
      </c>
      <c r="E358" s="28" t="n">
        <f aca="false">C358*bank_pct</f>
        <v>3709700</v>
      </c>
      <c r="G358" s="28" t="n">
        <f aca="false">C358*cdc_pct</f>
        <v>2967760</v>
      </c>
      <c r="I358" s="28" t="n">
        <f aca="false">-PMT($H$357/12,amort*12,E358)</f>
        <v>29273.9285943582</v>
      </c>
      <c r="K358" s="28" t="n">
        <f aca="false">-PMT($J$357/12,amort*12,G358)</f>
        <v>22008.7591661148</v>
      </c>
    </row>
    <row r="359" customFormat="false" ht="15" hidden="false" customHeight="false" outlineLevel="0" collapsed="false">
      <c r="B359" s="13" t="s">
        <v>217</v>
      </c>
      <c r="C359" s="28" t="n">
        <f aca="false">-FV($H$357/12,12*C$3,-$I$358,$E$358)-FV($J$357/12,12*C$3,-$K$358,$G$358)</f>
        <v>6677460</v>
      </c>
      <c r="D359" s="28" t="n">
        <f aca="false">-FV($H$357/12,12*D$3,-$I$358,$E$358)-FV($J$357/12,12*D$3,-$K$358,$G$358)</f>
        <v>6589096.38177495</v>
      </c>
      <c r="E359" s="28" t="n">
        <f aca="false">-FV($H$357/12,12*E$3,-$I$358,$E$358)-FV($J$357/12,12*E$3,-$K$358,$G$358)</f>
        <v>6493474.34150287</v>
      </c>
      <c r="F359" s="28" t="n">
        <f aca="false">-FV($H$357/12,12*F$3,-$I$358,$E$358)-FV($J$357/12,12*F$3,-$K$358,$G$358)</f>
        <v>6389996.33407214</v>
      </c>
      <c r="G359" s="28" t="n">
        <f aca="false">-FV($H$357/12,12*G$3,-$I$358,$E$358)-FV($J$357/12,12*G$3,-$K$358,$G$358)</f>
        <v>6278015.51428663</v>
      </c>
      <c r="H359" s="28" t="n">
        <f aca="false">-FV($H$357/12,12*H$3,-$I$358,$E$358)-FV($J$357/12,12*H$3,-$K$358,$G$358)</f>
        <v>6156831.66064311</v>
      </c>
      <c r="I359" s="28" t="n">
        <f aca="false">-FV($H$357/12,12*I$3,-$I$358,$E$358)-FV($J$357/12,12*I$3,-$K$358,$G$358)</f>
        <v>6025686.76136863</v>
      </c>
      <c r="J359" s="28" t="n">
        <f aca="false">-FV($H$357/12,12*J$3,-$I$358,$E$358)-FV($J$357/12,12*J$3,-$K$358,$G$358)</f>
        <v>5883760.23467649</v>
      </c>
      <c r="K359" s="28" t="n">
        <f aca="false">-FV($H$357/12,12*K$3,-$I$358,$E$358)-FV($J$357/12,12*K$3,-$K$358,$G$358)</f>
        <v>5730163.75286682</v>
      </c>
      <c r="L359" s="28" t="n">
        <f aca="false">-FV($H$357/12,12*L$3,-$I$358,$E$358)-FV($J$357/12,12*L$3,-$K$358,$G$358)</f>
        <v>5563935.63736996</v>
      </c>
      <c r="M359" s="28" t="n">
        <f aca="false">-FV($H$357/12,12*M$3,-$I$358,$E$358)-FV($J$357/12,12*M$3,-$K$358,$G$358)</f>
        <v>5384034.78909354</v>
      </c>
    </row>
    <row r="360" customFormat="false" ht="15" hidden="false" customHeight="false" outlineLevel="0" collapsed="false">
      <c r="B360" s="13" t="s">
        <v>169</v>
      </c>
      <c r="C360" s="28" t="n">
        <v>0</v>
      </c>
      <c r="D360" s="28" t="n">
        <f aca="false">(($I$358+$K$358)*12)-(C359-D359)</f>
        <v>527028.634900627</v>
      </c>
      <c r="E360" s="28" t="n">
        <f aca="false">(($I$358+$K$358)*12)-(D359-E359)</f>
        <v>519770.212853597</v>
      </c>
      <c r="F360" s="28" t="n">
        <f aca="false">(($I$358+$K$358)*12)-(E359-F359)</f>
        <v>511914.245694939</v>
      </c>
      <c r="G360" s="28" t="n">
        <f aca="false">(($I$358+$K$358)*12)-(F359-G359)</f>
        <v>503411.433340166</v>
      </c>
      <c r="H360" s="28" t="n">
        <f aca="false">(($I$358+$K$358)*12)-(G359-H359)</f>
        <v>494208.39948216</v>
      </c>
      <c r="I360" s="28" t="n">
        <f aca="false">(($I$358+$K$358)*12)-(H359-I359)</f>
        <v>484247.353851187</v>
      </c>
      <c r="J360" s="28" t="n">
        <f aca="false">(($I$358+$K$358)*12)-(I359-J359)</f>
        <v>473465.726433544</v>
      </c>
      <c r="K360" s="28" t="n">
        <f aca="false">(($I$358+$K$358)*12)-(J359-K359)</f>
        <v>461795.771316003</v>
      </c>
      <c r="L360" s="28" t="n">
        <f aca="false">(($I$358+$K$358)*12)-(K359-L359)</f>
        <v>449164.137628816</v>
      </c>
      <c r="M360" s="28" t="n">
        <f aca="false">(($I$358+$K$358)*12)-(L359-M359)</f>
        <v>435491.404849249</v>
      </c>
    </row>
    <row r="361" customFormat="false" ht="15" hidden="false" customHeight="false" outlineLevel="0" collapsed="false">
      <c r="B361" s="13" t="s">
        <v>171</v>
      </c>
      <c r="C361" s="28" t="n">
        <v>0</v>
      </c>
      <c r="D361" s="28" t="n">
        <f aca="false">(($D$357*sf*(1+close)*bldg_share+base*sf)/bldg_life)+IF(D$3=1,fit*sf*bonus,0)+fit*sf*(1-bonus)/15</f>
        <v>2833533.33333333</v>
      </c>
      <c r="E361" s="28" t="n">
        <f aca="false">(($D$357*sf*(1+close)*bldg_share+base*sf)/bldg_life)+IF(E$3=1,fit*sf*bonus,0)+fit*sf*(1-bonus)/15</f>
        <v>98133.3333333333</v>
      </c>
      <c r="F361" s="28" t="n">
        <f aca="false">(($D$357*sf*(1+close)*bldg_share+base*sf)/bldg_life)+IF(F$3=1,fit*sf*bonus,0)+fit*sf*(1-bonus)/15</f>
        <v>98133.3333333333</v>
      </c>
      <c r="G361" s="28" t="n">
        <f aca="false">(($D$357*sf*(1+close)*bldg_share+base*sf)/bldg_life)+IF(G$3=1,fit*sf*bonus,0)+fit*sf*(1-bonus)/15</f>
        <v>98133.3333333333</v>
      </c>
      <c r="H361" s="28" t="n">
        <f aca="false">(($D$357*sf*(1+close)*bldg_share+base*sf)/bldg_life)+IF(H$3=1,fit*sf*bonus,0)+fit*sf*(1-bonus)/15</f>
        <v>98133.3333333333</v>
      </c>
      <c r="I361" s="28" t="n">
        <f aca="false">(($D$357*sf*(1+close)*bldg_share+base*sf)/bldg_life)+IF(I$3=1,fit*sf*bonus,0)+fit*sf*(1-bonus)/15</f>
        <v>98133.3333333333</v>
      </c>
      <c r="J361" s="28" t="n">
        <f aca="false">(($D$357*sf*(1+close)*bldg_share+base*sf)/bldg_life)+IF(J$3=1,fit*sf*bonus,0)+fit*sf*(1-bonus)/15</f>
        <v>98133.3333333333</v>
      </c>
      <c r="K361" s="28" t="n">
        <f aca="false">(($D$357*sf*(1+close)*bldg_share+base*sf)/bldg_life)+IF(K$3=1,fit*sf*bonus,0)+fit*sf*(1-bonus)/15</f>
        <v>98133.3333333333</v>
      </c>
      <c r="L361" s="28" t="n">
        <f aca="false">(($D$357*sf*(1+close)*bldg_share+base*sf)/bldg_life)+IF(L$3=1,fit*sf*bonus,0)+fit*sf*(1-bonus)/15</f>
        <v>98133.3333333333</v>
      </c>
      <c r="M361" s="28" t="n">
        <f aca="false">(($D$357*sf*(1+close)*bldg_share+base*sf)/bldg_life)+IF(M$3=1,fit*sf*bonus,0)+fit*sf*(1-bonus)/15</f>
        <v>98133.3333333333</v>
      </c>
    </row>
    <row r="362" customFormat="false" ht="15" hidden="false" customHeight="false" outlineLevel="0" collapsed="false">
      <c r="B362" s="13" t="s">
        <v>218</v>
      </c>
      <c r="C362" s="28" t="n">
        <f aca="false">-($C$358-$E$358-$G$358)-carry_m/12*($E$358*$H$357+$G$358*$J$357+Model!$D$8*sf)*(1-tax)</f>
        <v>-970050.228486667</v>
      </c>
      <c r="D362" s="28" t="n">
        <f aca="false">-((($I$358+$K$358)*12)+Model!D35)+tax*(D360+Model!D35+D361)</f>
        <v>-175154.569296543</v>
      </c>
      <c r="E362" s="28" t="n">
        <f aca="false">-((($I$358+$K$358)*12)+Model!E35)+tax*(E360+Model!E35+E361)</f>
        <v>-759077.24781142</v>
      </c>
      <c r="F362" s="28" t="n">
        <f aca="false">-((($I$358+$K$358)*12)+Model!F35)+tax*(F360+Model!F35+F361)</f>
        <v>-768930.343096288</v>
      </c>
      <c r="G362" s="28" t="n">
        <f aca="false">-((($I$358+$K$358)*12)+Model!G35)+tax*(G360+Model!G35+G361)</f>
        <v>-779165.376137787</v>
      </c>
      <c r="H362" s="28" t="n">
        <f aca="false">-((($I$358+$K$358)*12)+Model!H35)+tax*(H360+Model!H35+H361)</f>
        <v>-789800.938968374</v>
      </c>
      <c r="I362" s="28" t="n">
        <f aca="false">-((($I$358+$K$358)*12)+Model!I35)+tax*(I360+Model!I35+I361)</f>
        <v>-800856.772042897</v>
      </c>
      <c r="J362" s="28" t="n">
        <f aca="false">-((($I$358+$K$358)*12)+Model!J35)+tax*(J360+Model!J35+J361)</f>
        <v>-812353.847697382</v>
      </c>
      <c r="K362" s="28" t="n">
        <f aca="false">-((($I$358+$K$358)*12)+Model!K35)+tax*(K360+Model!K35+K361)</f>
        <v>-824314.460185748</v>
      </c>
      <c r="L362" s="28" t="n">
        <f aca="false">-((($I$358+$K$358)*12)+Model!L35)+tax*(L360+Model!L35+L361)</f>
        <v>-836762.32283115</v>
      </c>
      <c r="M362" s="28" t="n">
        <f aca="false">-((($I$358+$K$358)*12)+Model!M35)+tax*(M360+Model!M35+M361)+($F$357*sf*(1-sale_cost)-M359-tax*($F$357*sf*(1-sale_cost)-($C$358-SUM($C361:$M361))))</f>
        <v>-1728668.07433948</v>
      </c>
    </row>
    <row r="363" customFormat="false" ht="15" hidden="false" customHeight="false" outlineLevel="0" collapsed="false">
      <c r="B363" s="20" t="s">
        <v>219</v>
      </c>
      <c r="C363" s="28" t="n">
        <f aca="false">C362+NPV(disc,D362:M362)</f>
        <v>-6146978.55225672</v>
      </c>
      <c r="D363" s="29" t="n">
        <f aca="false">C363-Model!$D$68</f>
        <v>-631711.686662012</v>
      </c>
    </row>
    <row r="365" customFormat="false" ht="15" hidden="false" customHeight="false" outlineLevel="0" collapsed="false">
      <c r="B365" s="20" t="s">
        <v>264</v>
      </c>
      <c r="C365" s="13" t="s">
        <v>212</v>
      </c>
      <c r="D365" s="26" t="n">
        <f aca="false">Sensitivity!$B$19</f>
        <v>230</v>
      </c>
      <c r="E365" s="13" t="s">
        <v>213</v>
      </c>
      <c r="F365" s="26" t="n">
        <f aca="false">user_val*(1+exit_grow)^10</f>
        <v>243.216063397308</v>
      </c>
      <c r="G365" s="13" t="s">
        <v>214</v>
      </c>
      <c r="H365" s="27" t="n">
        <f aca="false">bank_rate+Sensitivity!C$14</f>
        <v>0.0626</v>
      </c>
      <c r="I365" s="13" t="s">
        <v>215</v>
      </c>
      <c r="J365" s="27" t="n">
        <f aca="false">cdc_rate+Sensitivity!C$14</f>
        <v>0.0554</v>
      </c>
    </row>
    <row r="366" customFormat="false" ht="15" hidden="false" customHeight="false" outlineLevel="0" collapsed="false">
      <c r="B366" s="13" t="s">
        <v>216</v>
      </c>
      <c r="C366" s="28" t="n">
        <f aca="false">$D$365*sf*(1+close)+base*sf+fit*sf</f>
        <v>7827400</v>
      </c>
      <c r="E366" s="28" t="n">
        <f aca="false">C366*bank_pct</f>
        <v>3913700</v>
      </c>
      <c r="G366" s="28" t="n">
        <f aca="false">C366*cdc_pct</f>
        <v>3130960</v>
      </c>
      <c r="I366" s="28" t="n">
        <f aca="false">-PMT($H$365/12,amort*12,E366)</f>
        <v>25841.6777838248</v>
      </c>
      <c r="K366" s="28" t="n">
        <f aca="false">-PMT($J$365/12,amort*12,G366)</f>
        <v>19301.6970725817</v>
      </c>
    </row>
    <row r="367" customFormat="false" ht="15" hidden="false" customHeight="false" outlineLevel="0" collapsed="false">
      <c r="B367" s="13" t="s">
        <v>217</v>
      </c>
      <c r="C367" s="28" t="n">
        <f aca="false">-FV($H$365/12,12*C$3,-$I$366,$E$366)-FV($J$365/12,12*C$3,-$K$366,$G$366)</f>
        <v>7044660</v>
      </c>
      <c r="D367" s="28" t="n">
        <f aca="false">-FV($H$365/12,12*D$3,-$I$366,$E$366)-FV($J$365/12,12*D$3,-$K$366,$G$366)</f>
        <v>6917991.66422433</v>
      </c>
      <c r="E367" s="28" t="n">
        <f aca="false">-FV($H$365/12,12*E$3,-$I$366,$E$366)-FV($J$365/12,12*E$3,-$K$366,$G$366)</f>
        <v>6783615.7812881</v>
      </c>
      <c r="F367" s="28" t="n">
        <f aca="false">-FV($H$365/12,12*F$3,-$I$366,$E$366)-FV($J$365/12,12*F$3,-$K$366,$G$366)</f>
        <v>6641061.5378648</v>
      </c>
      <c r="G367" s="28" t="n">
        <f aca="false">-FV($H$365/12,12*G$3,-$I$366,$E$366)-FV($J$365/12,12*G$3,-$K$366,$G$366)</f>
        <v>6489829.25146506</v>
      </c>
      <c r="H367" s="28" t="n">
        <f aca="false">-FV($H$365/12,12*H$3,-$I$366,$E$366)-FV($J$365/12,12*H$3,-$K$366,$G$366)</f>
        <v>6329388.59367455</v>
      </c>
      <c r="I367" s="28" t="n">
        <f aca="false">-FV($H$365/12,12*I$3,-$I$366,$E$366)-FV($J$365/12,12*I$3,-$K$366,$G$366)</f>
        <v>6159176.7036479</v>
      </c>
      <c r="J367" s="28" t="n">
        <f aca="false">-FV($H$365/12,12*J$3,-$I$366,$E$366)-FV($J$365/12,12*J$3,-$K$366,$G$366)</f>
        <v>5978596.18505699</v>
      </c>
      <c r="K367" s="28" t="n">
        <f aca="false">-FV($H$365/12,12*K$3,-$I$366,$E$366)-FV($J$365/12,12*K$3,-$K$366,$G$366)</f>
        <v>5787012.97926869</v>
      </c>
      <c r="L367" s="28" t="n">
        <f aca="false">-FV($H$365/12,12*L$3,-$I$366,$E$366)-FV($J$365/12,12*L$3,-$K$366,$G$366)</f>
        <v>5583754.10707803</v>
      </c>
      <c r="M367" s="28" t="n">
        <f aca="false">-FV($H$365/12,12*M$3,-$I$366,$E$366)-FV($J$365/12,12*M$3,-$K$366,$G$366)</f>
        <v>5368105.27084536</v>
      </c>
    </row>
    <row r="368" customFormat="false" ht="15" hidden="false" customHeight="false" outlineLevel="0" collapsed="false">
      <c r="B368" s="13" t="s">
        <v>169</v>
      </c>
      <c r="C368" s="28" t="n">
        <v>0</v>
      </c>
      <c r="D368" s="28" t="n">
        <f aca="false">(($I$366+$K$366)*12)-(C367-D367)</f>
        <v>415052.162501209</v>
      </c>
      <c r="E368" s="28" t="n">
        <f aca="false">(($I$366+$K$366)*12)-(D367-E367)</f>
        <v>407344.615340646</v>
      </c>
      <c r="F368" s="28" t="n">
        <f aca="false">(($I$366+$K$366)*12)-(E367-F367)</f>
        <v>399166.254853576</v>
      </c>
      <c r="G368" s="28" t="n">
        <f aca="false">(($I$366+$K$366)*12)-(F367-G367)</f>
        <v>390488.21187714</v>
      </c>
      <c r="H368" s="28" t="n">
        <f aca="false">(($I$366+$K$366)*12)-(G367-H367)</f>
        <v>381279.840486365</v>
      </c>
      <c r="I368" s="28" t="n">
        <f aca="false">(($I$366+$K$366)*12)-(H367-I367)</f>
        <v>371508.608250228</v>
      </c>
      <c r="J368" s="28" t="n">
        <f aca="false">(($I$366+$K$366)*12)-(I367-J367)</f>
        <v>361139.979685965</v>
      </c>
      <c r="K368" s="28" t="n">
        <f aca="false">(($I$366+$K$366)*12)-(J367-K367)</f>
        <v>350137.292488576</v>
      </c>
      <c r="L368" s="28" t="n">
        <f aca="false">(($I$366+$K$366)*12)-(K367-L367)</f>
        <v>338461.626086225</v>
      </c>
      <c r="M368" s="28" t="n">
        <f aca="false">(($I$366+$K$366)*12)-(L367-M367)</f>
        <v>326071.662044202</v>
      </c>
    </row>
    <row r="369" customFormat="false" ht="15" hidden="false" customHeight="false" outlineLevel="0" collapsed="false">
      <c r="B369" s="13" t="s">
        <v>171</v>
      </c>
      <c r="C369" s="28" t="n">
        <v>0</v>
      </c>
      <c r="D369" s="28" t="n">
        <f aca="false">(($D$365*sf*(1+close)*bldg_share+base*sf)/bldg_life)+IF(D$3=1,fit*sf*bonus,0)+fit*sf*(1-bonus)/15</f>
        <v>2841902.56410256</v>
      </c>
      <c r="E369" s="28" t="n">
        <f aca="false">(($D$365*sf*(1+close)*bldg_share+base*sf)/bldg_life)+IF(E$3=1,fit*sf*bonus,0)+fit*sf*(1-bonus)/15</f>
        <v>106502.564102564</v>
      </c>
      <c r="F369" s="28" t="n">
        <f aca="false">(($D$365*sf*(1+close)*bldg_share+base*sf)/bldg_life)+IF(F$3=1,fit*sf*bonus,0)+fit*sf*(1-bonus)/15</f>
        <v>106502.564102564</v>
      </c>
      <c r="G369" s="28" t="n">
        <f aca="false">(($D$365*sf*(1+close)*bldg_share+base*sf)/bldg_life)+IF(G$3=1,fit*sf*bonus,0)+fit*sf*(1-bonus)/15</f>
        <v>106502.564102564</v>
      </c>
      <c r="H369" s="28" t="n">
        <f aca="false">(($D$365*sf*(1+close)*bldg_share+base*sf)/bldg_life)+IF(H$3=1,fit*sf*bonus,0)+fit*sf*(1-bonus)/15</f>
        <v>106502.564102564</v>
      </c>
      <c r="I369" s="28" t="n">
        <f aca="false">(($D$365*sf*(1+close)*bldg_share+base*sf)/bldg_life)+IF(I$3=1,fit*sf*bonus,0)+fit*sf*(1-bonus)/15</f>
        <v>106502.564102564</v>
      </c>
      <c r="J369" s="28" t="n">
        <f aca="false">(($D$365*sf*(1+close)*bldg_share+base*sf)/bldg_life)+IF(J$3=1,fit*sf*bonus,0)+fit*sf*(1-bonus)/15</f>
        <v>106502.564102564</v>
      </c>
      <c r="K369" s="28" t="n">
        <f aca="false">(($D$365*sf*(1+close)*bldg_share+base*sf)/bldg_life)+IF(K$3=1,fit*sf*bonus,0)+fit*sf*(1-bonus)/15</f>
        <v>106502.564102564</v>
      </c>
      <c r="L369" s="28" t="n">
        <f aca="false">(($D$365*sf*(1+close)*bldg_share+base*sf)/bldg_life)+IF(L$3=1,fit*sf*bonus,0)+fit*sf*(1-bonus)/15</f>
        <v>106502.564102564</v>
      </c>
      <c r="M369" s="28" t="n">
        <f aca="false">(($D$365*sf*(1+close)*bldg_share+base*sf)/bldg_life)+IF(M$3=1,fit*sf*bonus,0)+fit*sf*(1-bonus)/15</f>
        <v>106502.564102564</v>
      </c>
    </row>
    <row r="370" customFormat="false" ht="15" hidden="false" customHeight="false" outlineLevel="0" collapsed="false">
      <c r="B370" s="13" t="s">
        <v>218</v>
      </c>
      <c r="C370" s="28" t="n">
        <f aca="false">-($C$366-$E$366-$G$366)-carry_m/12*($E$366*$H$365+$G$366*$J$365+Model!$D$8*sf)*(1-tax)</f>
        <v>-981426.014886667</v>
      </c>
      <c r="D370" s="28" t="n">
        <f aca="false">-((($I$366+$K$366)*12)+Model!D35)+tax*(D368+Model!D35+D369)</f>
        <v>-123240.335190085</v>
      </c>
      <c r="E370" s="28" t="n">
        <f aca="false">-((($I$366+$K$366)*12)+Model!E35)+tax*(E368+Model!E35+E369)</f>
        <v>-707257.329978803</v>
      </c>
      <c r="F370" s="28" t="n">
        <f aca="false">-((($I$366+$K$366)*12)+Model!F35)+tax*(F368+Model!F35+F369)</f>
        <v>-717178.127862638</v>
      </c>
      <c r="G370" s="28" t="n">
        <f aca="false">-((($I$366+$K$366)*12)+Model!G35)+tax*(G368+Model!G35+G369)</f>
        <v>-727449.959334686</v>
      </c>
      <c r="H370" s="28" t="n">
        <f aca="false">-((($I$366+$K$366)*12)+Model!H35)+tax*(H368+Model!H35+H369)</f>
        <v>-738086.643047155</v>
      </c>
      <c r="I370" s="28" t="n">
        <f aca="false">-((($I$366+$K$366)*12)+Model!I35)+tax*(I368+Model!I35+I369)</f>
        <v>-749102.615308762</v>
      </c>
      <c r="J370" s="28" t="n">
        <f aca="false">-((($I$366+$K$366)*12)+Model!J35)+tax*(J368+Model!J35+J369)</f>
        <v>-760512.961204037</v>
      </c>
      <c r="K370" s="28" t="n">
        <f aca="false">-((($I$366+$K$366)*12)+Model!K35)+tax*(K368+Model!K35+K369)</f>
        <v>-772333.447429171</v>
      </c>
      <c r="L370" s="28" t="n">
        <f aca="false">-((($I$366+$K$366)*12)+Model!L35)+tax*(L368+Model!L35+L369)</f>
        <v>-784580.556944758</v>
      </c>
      <c r="M370" s="28" t="n">
        <f aca="false">-((($I$366+$K$366)*12)+Model!M35)+tax*(M368+Model!M35+M369)+($F$365*sf*(1-sale_cost)-M367-tax*($F$365*sf*(1-sale_cost)-($C$366-SUM($C369:$M369))))</f>
        <v>-1592182.79338541</v>
      </c>
    </row>
    <row r="371" customFormat="false" ht="15" hidden="false" customHeight="false" outlineLevel="0" collapsed="false">
      <c r="B371" s="20" t="s">
        <v>219</v>
      </c>
      <c r="C371" s="28" t="n">
        <f aca="false">C370+NPV(disc,D370:M370)</f>
        <v>-5771298.2944911</v>
      </c>
      <c r="D371" s="29" t="n">
        <f aca="false">C371-Model!$D$68</f>
        <v>-256031.428896398</v>
      </c>
    </row>
    <row r="373" customFormat="false" ht="15" hidden="false" customHeight="false" outlineLevel="0" collapsed="false">
      <c r="B373" s="20" t="s">
        <v>265</v>
      </c>
      <c r="C373" s="13" t="s">
        <v>212</v>
      </c>
      <c r="D373" s="26" t="n">
        <f aca="false">Sensitivity!$B$19</f>
        <v>230</v>
      </c>
      <c r="E373" s="13" t="s">
        <v>213</v>
      </c>
      <c r="F373" s="26" t="n">
        <f aca="false">user_val*(1+exit_grow)^10</f>
        <v>243.216063397308</v>
      </c>
      <c r="G373" s="13" t="s">
        <v>214</v>
      </c>
      <c r="H373" s="27" t="n">
        <f aca="false">bank_rate+Sensitivity!D$14</f>
        <v>0.0676</v>
      </c>
      <c r="I373" s="13" t="s">
        <v>215</v>
      </c>
      <c r="J373" s="27" t="n">
        <f aca="false">cdc_rate+Sensitivity!D$14</f>
        <v>0.0604</v>
      </c>
    </row>
    <row r="374" customFormat="false" ht="15" hidden="false" customHeight="false" outlineLevel="0" collapsed="false">
      <c r="B374" s="13" t="s">
        <v>216</v>
      </c>
      <c r="C374" s="28" t="n">
        <f aca="false">$D$373*sf*(1+close)+base*sf+fit*sf</f>
        <v>7827400</v>
      </c>
      <c r="E374" s="28" t="n">
        <f aca="false">C374*bank_pct</f>
        <v>3913700</v>
      </c>
      <c r="G374" s="28" t="n">
        <f aca="false">C374*cdc_pct</f>
        <v>3130960</v>
      </c>
      <c r="I374" s="28" t="n">
        <f aca="false">-PMT($H$373/12,amort*12,E374)</f>
        <v>27064.9230290263</v>
      </c>
      <c r="K374" s="28" t="n">
        <f aca="false">-PMT($J$373/12,amort*12,G374)</f>
        <v>20249.4442057039</v>
      </c>
    </row>
    <row r="375" customFormat="false" ht="15" hidden="false" customHeight="false" outlineLevel="0" collapsed="false">
      <c r="B375" s="13" t="s">
        <v>217</v>
      </c>
      <c r="C375" s="28" t="n">
        <f aca="false">-FV($H$373/12,12*C$3,-$I$374,$E$374)-FV($J$373/12,12*C$3,-$K$374,$G$374)</f>
        <v>7044660</v>
      </c>
      <c r="D375" s="28" t="n">
        <f aca="false">-FV($H$373/12,12*D$3,-$I$374,$E$374)-FV($J$373/12,12*D$3,-$K$374,$G$374)</f>
        <v>6927145.63595691</v>
      </c>
      <c r="E375" s="28" t="n">
        <f aca="false">-FV($H$373/12,12*E$3,-$I$374,$E$374)-FV($J$373/12,12*E$3,-$K$374,$G$374)</f>
        <v>6801859.40758749</v>
      </c>
      <c r="F375" s="28" t="n">
        <f aca="false">-FV($H$373/12,12*F$3,-$I$374,$E$374)-FV($J$373/12,12*F$3,-$K$374,$G$374)</f>
        <v>6668285.61274196</v>
      </c>
      <c r="G375" s="28" t="n">
        <f aca="false">-FV($H$373/12,12*G$3,-$I$374,$E$374)-FV($J$373/12,12*G$3,-$K$374,$G$374)</f>
        <v>6525874.21810886</v>
      </c>
      <c r="H375" s="28" t="n">
        <f aca="false">-FV($H$373/12,12*H$3,-$I$374,$E$374)-FV($J$373/12,12*H$3,-$K$374,$G$374)</f>
        <v>6374038.56643929</v>
      </c>
      <c r="I375" s="28" t="n">
        <f aca="false">-FV($H$373/12,12*I$3,-$I$374,$E$374)-FV($J$373/12,12*I$3,-$K$374,$G$374)</f>
        <v>6212152.93017578</v>
      </c>
      <c r="J375" s="28" t="n">
        <f aca="false">-FV($H$373/12,12*J$3,-$I$374,$E$374)-FV($J$373/12,12*J$3,-$K$374,$G$374)</f>
        <v>6039549.9011655</v>
      </c>
      <c r="K375" s="28" t="n">
        <f aca="false">-FV($H$373/12,12*K$3,-$I$374,$E$374)-FV($J$373/12,12*K$3,-$K$374,$G$374)</f>
        <v>5855517.60544232</v>
      </c>
      <c r="L375" s="28" t="n">
        <f aca="false">-FV($H$373/12,12*L$3,-$I$374,$E$374)-FV($J$373/12,12*L$3,-$K$374,$G$374)</f>
        <v>5659296.73131927</v>
      </c>
      <c r="M375" s="28" t="n">
        <f aca="false">-FV($H$373/12,12*M$3,-$I$374,$E$374)-FV($J$373/12,12*M$3,-$K$374,$G$374)</f>
        <v>5450077.35824106</v>
      </c>
    </row>
    <row r="376" customFormat="false" ht="15" hidden="false" customHeight="false" outlineLevel="0" collapsed="false">
      <c r="B376" s="13" t="s">
        <v>169</v>
      </c>
      <c r="C376" s="28" t="n">
        <v>0</v>
      </c>
      <c r="D376" s="28" t="n">
        <f aca="false">(($I$374+$K$374)*12)-(C375-D375)</f>
        <v>450258.042773671</v>
      </c>
      <c r="E376" s="28" t="n">
        <f aca="false">(($I$374+$K$374)*12)-(D375-E375)</f>
        <v>442486.178447342</v>
      </c>
      <c r="F376" s="28" t="n">
        <f aca="false">(($I$374+$K$374)*12)-(E375-F375)</f>
        <v>434198.61197123</v>
      </c>
      <c r="G376" s="28" t="n">
        <f aca="false">(($I$374+$K$374)*12)-(F375-G375)</f>
        <v>425361.012183666</v>
      </c>
      <c r="H376" s="28" t="n">
        <f aca="false">(($I$374+$K$374)*12)-(G375-H375)</f>
        <v>415936.755147193</v>
      </c>
      <c r="I376" s="28" t="n">
        <f aca="false">(($I$374+$K$374)*12)-(H375-I375)</f>
        <v>405886.770553243</v>
      </c>
      <c r="J376" s="28" t="n">
        <f aca="false">(($I$374+$K$374)*12)-(I375-J375)</f>
        <v>395169.37780649</v>
      </c>
      <c r="K376" s="28" t="n">
        <f aca="false">(($I$374+$K$374)*12)-(J375-K375)</f>
        <v>383740.111093579</v>
      </c>
      <c r="L376" s="28" t="n">
        <f aca="false">(($I$374+$K$374)*12)-(K375-L375)</f>
        <v>371551.532693707</v>
      </c>
      <c r="M376" s="28" t="n">
        <f aca="false">(($I$374+$K$374)*12)-(L375-M375)</f>
        <v>358553.033738554</v>
      </c>
    </row>
    <row r="377" customFormat="false" ht="15" hidden="false" customHeight="false" outlineLevel="0" collapsed="false">
      <c r="B377" s="13" t="s">
        <v>171</v>
      </c>
      <c r="C377" s="28" t="n">
        <v>0</v>
      </c>
      <c r="D377" s="28" t="n">
        <f aca="false">(($D$373*sf*(1+close)*bldg_share+base*sf)/bldg_life)+IF(D$3=1,fit*sf*bonus,0)+fit*sf*(1-bonus)/15</f>
        <v>2841902.56410256</v>
      </c>
      <c r="E377" s="28" t="n">
        <f aca="false">(($D$373*sf*(1+close)*bldg_share+base*sf)/bldg_life)+IF(E$3=1,fit*sf*bonus,0)+fit*sf*(1-bonus)/15</f>
        <v>106502.564102564</v>
      </c>
      <c r="F377" s="28" t="n">
        <f aca="false">(($D$373*sf*(1+close)*bldg_share+base*sf)/bldg_life)+IF(F$3=1,fit*sf*bonus,0)+fit*sf*(1-bonus)/15</f>
        <v>106502.564102564</v>
      </c>
      <c r="G377" s="28" t="n">
        <f aca="false">(($D$373*sf*(1+close)*bldg_share+base*sf)/bldg_life)+IF(G$3=1,fit*sf*bonus,0)+fit*sf*(1-bonus)/15</f>
        <v>106502.564102564</v>
      </c>
      <c r="H377" s="28" t="n">
        <f aca="false">(($D$373*sf*(1+close)*bldg_share+base*sf)/bldg_life)+IF(H$3=1,fit*sf*bonus,0)+fit*sf*(1-bonus)/15</f>
        <v>106502.564102564</v>
      </c>
      <c r="I377" s="28" t="n">
        <f aca="false">(($D$373*sf*(1+close)*bldg_share+base*sf)/bldg_life)+IF(I$3=1,fit*sf*bonus,0)+fit*sf*(1-bonus)/15</f>
        <v>106502.564102564</v>
      </c>
      <c r="J377" s="28" t="n">
        <f aca="false">(($D$373*sf*(1+close)*bldg_share+base*sf)/bldg_life)+IF(J$3=1,fit*sf*bonus,0)+fit*sf*(1-bonus)/15</f>
        <v>106502.564102564</v>
      </c>
      <c r="K377" s="28" t="n">
        <f aca="false">(($D$373*sf*(1+close)*bldg_share+base*sf)/bldg_life)+IF(K$3=1,fit*sf*bonus,0)+fit*sf*(1-bonus)/15</f>
        <v>106502.564102564</v>
      </c>
      <c r="L377" s="28" t="n">
        <f aca="false">(($D$373*sf*(1+close)*bldg_share+base*sf)/bldg_life)+IF(L$3=1,fit*sf*bonus,0)+fit*sf*(1-bonus)/15</f>
        <v>106502.564102564</v>
      </c>
      <c r="M377" s="28" t="n">
        <f aca="false">(($D$373*sf*(1+close)*bldg_share+base*sf)/bldg_life)+IF(M$3=1,fit*sf*bonus,0)+fit*sf*(1-bonus)/15</f>
        <v>106502.564102564</v>
      </c>
    </row>
    <row r="378" customFormat="false" ht="15" hidden="false" customHeight="false" outlineLevel="0" collapsed="false">
      <c r="B378" s="13" t="s">
        <v>218</v>
      </c>
      <c r="C378" s="28" t="n">
        <f aca="false">-($C$374-$E$374-$G$374)-carry_m/12*($E$374*$H$373+$G$374*$J$373+Model!$D$8*sf)*(1-tax)</f>
        <v>-990701.483886667</v>
      </c>
      <c r="D378" s="28" t="n">
        <f aca="false">-((($I$374+$K$374)*12)+Model!D35)+tax*(D376+Model!D35+D377)</f>
        <v>-141899.008872752</v>
      </c>
      <c r="E378" s="28" t="n">
        <f aca="false">-((($I$374+$K$374)*12)+Model!E35)+tax*(E376+Model!E35+E377)</f>
        <v>-725929.510266281</v>
      </c>
      <c r="F378" s="28" t="n">
        <f aca="false">-((($I$374+$K$374)*12)+Model!F35)+tax*(F376+Model!F35+F377)</f>
        <v>-735873.241407815</v>
      </c>
      <c r="G378" s="28" t="n">
        <f aca="false">-((($I$374+$K$374)*12)+Model!G35)+tax*(G376+Model!G35+G377)</f>
        <v>-746178.5798102</v>
      </c>
      <c r="H378" s="28" t="n">
        <f aca="false">-((($I$374+$K$374)*12)+Model!H35)+tax*(H376+Model!H35+H377)</f>
        <v>-756860.599508266</v>
      </c>
      <c r="I378" s="28" t="n">
        <f aca="false">-((($I$374+$K$374)*12)+Model!I35)+tax*(I376+Model!I35+I377)</f>
        <v>-767935.109765014</v>
      </c>
      <c r="J378" s="28" t="n">
        <f aca="false">-((($I$374+$K$374)*12)+Model!J35)+tax*(J376+Model!J35+J377)</f>
        <v>-779418.696138611</v>
      </c>
      <c r="K378" s="28" t="n">
        <f aca="false">-((($I$374+$K$374)*12)+Model!K35)+tax*(K376+Model!K35+K377)</f>
        <v>-791328.764062005</v>
      </c>
      <c r="L378" s="28" t="n">
        <f aca="false">-((($I$374+$K$374)*12)+Model!L35)+tax*(L376+Model!L35+L377)</f>
        <v>-803683.585097071</v>
      </c>
      <c r="M378" s="28" t="n">
        <f aca="false">-((($I$374+$K$374)*12)+Model!M35)+tax*(M376+Model!M35+M377)+($F$373*sf*(1-sale_cost)-M375-tax*($F$373*sf*(1-sale_cost)-($C$374-SUM($C377:$M377))))</f>
        <v>-1693385.70126518</v>
      </c>
    </row>
    <row r="379" customFormat="false" ht="15" hidden="false" customHeight="false" outlineLevel="0" collapsed="false">
      <c r="B379" s="20" t="s">
        <v>219</v>
      </c>
      <c r="C379" s="28" t="n">
        <f aca="false">C378+NPV(disc,D378:M378)</f>
        <v>-5944837.17384945</v>
      </c>
      <c r="D379" s="29" t="n">
        <f aca="false">C379-Model!$D$68</f>
        <v>-429570.308254741</v>
      </c>
    </row>
    <row r="381" customFormat="false" ht="15" hidden="false" customHeight="false" outlineLevel="0" collapsed="false">
      <c r="B381" s="20" t="s">
        <v>266</v>
      </c>
      <c r="C381" s="13" t="s">
        <v>212</v>
      </c>
      <c r="D381" s="26" t="n">
        <f aca="false">Sensitivity!$B$19</f>
        <v>230</v>
      </c>
      <c r="E381" s="13" t="s">
        <v>213</v>
      </c>
      <c r="F381" s="26" t="n">
        <f aca="false">user_val*(1+exit_grow)^10</f>
        <v>243.216063397308</v>
      </c>
      <c r="G381" s="13" t="s">
        <v>214</v>
      </c>
      <c r="H381" s="27" t="n">
        <f aca="false">bank_rate+Sensitivity!E$14</f>
        <v>0.0726</v>
      </c>
      <c r="I381" s="13" t="s">
        <v>215</v>
      </c>
      <c r="J381" s="27" t="n">
        <f aca="false">cdc_rate+Sensitivity!E$14</f>
        <v>0.0654</v>
      </c>
    </row>
    <row r="382" customFormat="false" ht="15" hidden="false" customHeight="false" outlineLevel="0" collapsed="false">
      <c r="B382" s="13" t="s">
        <v>216</v>
      </c>
      <c r="C382" s="28" t="n">
        <f aca="false">$D$381*sf*(1+close)+base*sf+fit*sf</f>
        <v>7827400</v>
      </c>
      <c r="E382" s="28" t="n">
        <f aca="false">C382*bank_pct</f>
        <v>3913700</v>
      </c>
      <c r="G382" s="28" t="n">
        <f aca="false">C382*cdc_pct</f>
        <v>3130960</v>
      </c>
      <c r="I382" s="28" t="n">
        <f aca="false">-PMT($H$381/12,amort*12,E382)</f>
        <v>28313.7116265338</v>
      </c>
      <c r="K382" s="28" t="n">
        <f aca="false">-PMT($J$381/12,amort*12,G382)</f>
        <v>21218.7898739561</v>
      </c>
    </row>
    <row r="383" customFormat="false" ht="15" hidden="false" customHeight="false" outlineLevel="0" collapsed="false">
      <c r="B383" s="13" t="s">
        <v>217</v>
      </c>
      <c r="C383" s="28" t="n">
        <f aca="false">-FV($H$381/12,12*C$3,-$I$382,$E$382)-FV($J$381/12,12*C$3,-$K$382,$G$382)</f>
        <v>7044660</v>
      </c>
      <c r="D383" s="28" t="n">
        <f aca="false">-FV($H$381/12,12*D$3,-$I$382,$E$382)-FV($J$381/12,12*D$3,-$K$382,$G$382)</f>
        <v>6935758.39546791</v>
      </c>
      <c r="E383" s="28" t="n">
        <f aca="false">-FV($H$381/12,12*E$3,-$I$382,$E$382)-FV($J$381/12,12*E$3,-$K$382,$G$382)</f>
        <v>6819076.11605176</v>
      </c>
      <c r="F383" s="28" t="n">
        <f aca="false">-FV($H$381/12,12*F$3,-$I$382,$E$382)-FV($J$381/12,12*F$3,-$K$382,$G$382)</f>
        <v>6694055.66113465</v>
      </c>
      <c r="G383" s="28" t="n">
        <f aca="false">-FV($H$381/12,12*G$3,-$I$382,$E$382)-FV($J$381/12,12*G$3,-$K$382,$G$382)</f>
        <v>6560099.47107285</v>
      </c>
      <c r="H383" s="28" t="n">
        <f aca="false">-FV($H$381/12,12*H$3,-$I$382,$E$382)-FV($J$381/12,12*H$3,-$K$382,$G$382)</f>
        <v>6416567.04078775</v>
      </c>
      <c r="I383" s="28" t="n">
        <f aca="false">-FV($H$381/12,12*I$3,-$I$382,$E$382)-FV($J$381/12,12*I$3,-$K$382,$G$382)</f>
        <v>6262771.82481911</v>
      </c>
      <c r="J383" s="28" t="n">
        <f aca="false">-FV($H$381/12,12*J$3,-$I$382,$E$382)-FV($J$381/12,12*J$3,-$K$382,$G$382)</f>
        <v>6097977.91873362</v>
      </c>
      <c r="K383" s="28" t="n">
        <f aca="false">-FV($H$381/12,12*K$3,-$I$382,$E$382)-FV($J$381/12,12*K$3,-$K$382,$G$382)</f>
        <v>5921396.50068558</v>
      </c>
      <c r="L383" s="28" t="n">
        <f aca="false">-FV($H$381/12,12*L$3,-$I$382,$E$382)-FV($J$381/12,12*L$3,-$K$382,$G$382)</f>
        <v>5732182.01574983</v>
      </c>
      <c r="M383" s="28" t="n">
        <f aca="false">-FV($H$381/12,12*M$3,-$I$382,$E$382)-FV($J$381/12,12*M$3,-$K$382,$G$382)</f>
        <v>5529428.08438437</v>
      </c>
    </row>
    <row r="384" customFormat="false" ht="15" hidden="false" customHeight="false" outlineLevel="0" collapsed="false">
      <c r="B384" s="13" t="s">
        <v>169</v>
      </c>
      <c r="C384" s="28" t="n">
        <v>0</v>
      </c>
      <c r="D384" s="28" t="n">
        <f aca="false">(($I$382+$K$382)*12)-(C383-D383)</f>
        <v>485488.413473792</v>
      </c>
      <c r="E384" s="28" t="n">
        <f aca="false">(($I$382+$K$382)*12)-(D383-E383)</f>
        <v>477707.738589723</v>
      </c>
      <c r="F384" s="28" t="n">
        <f aca="false">(($I$382+$K$382)*12)-(E383-F383)</f>
        <v>469369.563088773</v>
      </c>
      <c r="G384" s="28" t="n">
        <f aca="false">(($I$382+$K$382)*12)-(F383-G383)</f>
        <v>460433.827944085</v>
      </c>
      <c r="H384" s="28" t="n">
        <f aca="false">(($I$382+$K$382)*12)-(G383-H383)</f>
        <v>450857.587720772</v>
      </c>
      <c r="I384" s="28" t="n">
        <f aca="false">(($I$382+$K$382)*12)-(H383-I383)</f>
        <v>440594.802037237</v>
      </c>
      <c r="J384" s="28" t="n">
        <f aca="false">(($I$382+$K$382)*12)-(I383-J383)</f>
        <v>429596.111920392</v>
      </c>
      <c r="K384" s="28" t="n">
        <f aca="false">(($I$382+$K$382)*12)-(J383-K383)</f>
        <v>417808.599957842</v>
      </c>
      <c r="L384" s="28" t="n">
        <f aca="false">(($I$382+$K$382)*12)-(K383-L383)</f>
        <v>405175.533070125</v>
      </c>
      <c r="M384" s="28" t="n">
        <f aca="false">(($I$382+$K$382)*12)-(L383-M383)</f>
        <v>391636.086640429</v>
      </c>
    </row>
    <row r="385" customFormat="false" ht="15" hidden="false" customHeight="false" outlineLevel="0" collapsed="false">
      <c r="B385" s="13" t="s">
        <v>171</v>
      </c>
      <c r="C385" s="28" t="n">
        <v>0</v>
      </c>
      <c r="D385" s="28" t="n">
        <f aca="false">(($D$381*sf*(1+close)*bldg_share+base*sf)/bldg_life)+IF(D$3=1,fit*sf*bonus,0)+fit*sf*(1-bonus)/15</f>
        <v>2841902.56410256</v>
      </c>
      <c r="E385" s="28" t="n">
        <f aca="false">(($D$381*sf*(1+close)*bldg_share+base*sf)/bldg_life)+IF(E$3=1,fit*sf*bonus,0)+fit*sf*(1-bonus)/15</f>
        <v>106502.564102564</v>
      </c>
      <c r="F385" s="28" t="n">
        <f aca="false">(($D$381*sf*(1+close)*bldg_share+base*sf)/bldg_life)+IF(F$3=1,fit*sf*bonus,0)+fit*sf*(1-bonus)/15</f>
        <v>106502.564102564</v>
      </c>
      <c r="G385" s="28" t="n">
        <f aca="false">(($D$381*sf*(1+close)*bldg_share+base*sf)/bldg_life)+IF(G$3=1,fit*sf*bonus,0)+fit*sf*(1-bonus)/15</f>
        <v>106502.564102564</v>
      </c>
      <c r="H385" s="28" t="n">
        <f aca="false">(($D$381*sf*(1+close)*bldg_share+base*sf)/bldg_life)+IF(H$3=1,fit*sf*bonus,0)+fit*sf*(1-bonus)/15</f>
        <v>106502.564102564</v>
      </c>
      <c r="I385" s="28" t="n">
        <f aca="false">(($D$381*sf*(1+close)*bldg_share+base*sf)/bldg_life)+IF(I$3=1,fit*sf*bonus,0)+fit*sf*(1-bonus)/15</f>
        <v>106502.564102564</v>
      </c>
      <c r="J385" s="28" t="n">
        <f aca="false">(($D$381*sf*(1+close)*bldg_share+base*sf)/bldg_life)+IF(J$3=1,fit*sf*bonus,0)+fit*sf*(1-bonus)/15</f>
        <v>106502.564102564</v>
      </c>
      <c r="K385" s="28" t="n">
        <f aca="false">(($D$381*sf*(1+close)*bldg_share+base*sf)/bldg_life)+IF(K$3=1,fit*sf*bonus,0)+fit*sf*(1-bonus)/15</f>
        <v>106502.564102564</v>
      </c>
      <c r="L385" s="28" t="n">
        <f aca="false">(($D$381*sf*(1+close)*bldg_share+base*sf)/bldg_life)+IF(L$3=1,fit*sf*bonus,0)+fit*sf*(1-bonus)/15</f>
        <v>106502.564102564</v>
      </c>
      <c r="M385" s="28" t="n">
        <f aca="false">(($D$381*sf*(1+close)*bldg_share+base*sf)/bldg_life)+IF(M$3=1,fit*sf*bonus,0)+fit*sf*(1-bonus)/15</f>
        <v>106502.564102564</v>
      </c>
    </row>
    <row r="386" customFormat="false" ht="15" hidden="false" customHeight="false" outlineLevel="0" collapsed="false">
      <c r="B386" s="13" t="s">
        <v>218</v>
      </c>
      <c r="C386" s="28" t="n">
        <f aca="false">-($C$382-$E$382-$G$382)-carry_m/12*($E$382*$H$381+$G$382*$J$381+Model!$D$8*sf)*(1-tax)</f>
        <v>-999976.952886667</v>
      </c>
      <c r="D386" s="28" t="n">
        <f aca="false">-((($I$382+$K$382)*12)+Model!D35)+tax*(D384+Model!D35+D385)</f>
        <v>-161118.242214845</v>
      </c>
      <c r="E386" s="28" t="n">
        <f aca="false">-((($I$382+$K$382)*12)+Model!E35)+tax*(E384+Model!E35+E385)</f>
        <v>-745150.593825499</v>
      </c>
      <c r="F386" s="28" t="n">
        <f aca="false">-((($I$382+$K$382)*12)+Model!F35)+tax*(F384+Model!F35+F385)</f>
        <v>-755104.952862249</v>
      </c>
      <c r="G386" s="28" t="n">
        <f aca="false">-((($I$382+$K$382)*12)+Model!G35)+tax*(G384+Model!G35+G385)</f>
        <v>-765430.89968963</v>
      </c>
      <c r="H386" s="28" t="n">
        <f aca="false">-((($I$382+$K$382)*12)+Model!H35)+tax*(H384+Model!H35+H385)</f>
        <v>-776144.835856932</v>
      </c>
      <c r="I386" s="28" t="n">
        <f aca="false">-((($I$382+$K$382)*12)+Model!I35)+tax*(I384+Model!I35+I385)</f>
        <v>-787264.034342493</v>
      </c>
      <c r="J386" s="28" t="n">
        <f aca="false">-((($I$382+$K$382)*12)+Model!J35)+tax*(J384+Model!J35+J385)</f>
        <v>-798806.69316381</v>
      </c>
      <c r="K386" s="28" t="n">
        <f aca="false">-((($I$382+$K$382)*12)+Model!K35)+tax*(K384+Model!K35+K385)</f>
        <v>-810791.992589627</v>
      </c>
      <c r="L386" s="28" t="n">
        <f aca="false">-((($I$382+$K$382)*12)+Model!L35)+tax*(L384+Model!L35+L385)</f>
        <v>-823240.156207141</v>
      </c>
      <c r="M386" s="28" t="n">
        <f aca="false">-((($I$382+$K$382)*12)+Model!M35)+tax*(M384+Model!M35+M385)+($F$381*sf*(1-sale_cost)-M383-tax*($F$381*sf*(1-sale_cost)-($C$382-SUM($C385:$M385))))</f>
        <v>-1792406.59748822</v>
      </c>
    </row>
    <row r="387" customFormat="false" ht="15" hidden="false" customHeight="false" outlineLevel="0" collapsed="false">
      <c r="B387" s="20" t="s">
        <v>219</v>
      </c>
      <c r="C387" s="28" t="n">
        <f aca="false">C386+NPV(disc,D386:M386)</f>
        <v>-6120587.09687223</v>
      </c>
      <c r="D387" s="29" t="n">
        <f aca="false">C387-Model!$D$68</f>
        <v>-605320.23127752</v>
      </c>
    </row>
    <row r="389" customFormat="false" ht="15" hidden="false" customHeight="false" outlineLevel="0" collapsed="false">
      <c r="B389" s="20" t="s">
        <v>267</v>
      </c>
      <c r="C389" s="13" t="s">
        <v>212</v>
      </c>
      <c r="D389" s="26" t="n">
        <f aca="false">Sensitivity!$B$19</f>
        <v>230</v>
      </c>
      <c r="E389" s="13" t="s">
        <v>213</v>
      </c>
      <c r="F389" s="26" t="n">
        <f aca="false">user_val*(1+exit_grow)^10</f>
        <v>243.216063397308</v>
      </c>
      <c r="G389" s="13" t="s">
        <v>214</v>
      </c>
      <c r="H389" s="27" t="n">
        <f aca="false">bank_rate+Sensitivity!F$14</f>
        <v>0.0776</v>
      </c>
      <c r="I389" s="13" t="s">
        <v>215</v>
      </c>
      <c r="J389" s="27" t="n">
        <f aca="false">cdc_rate+Sensitivity!F$14</f>
        <v>0.0704</v>
      </c>
    </row>
    <row r="390" customFormat="false" ht="15" hidden="false" customHeight="false" outlineLevel="0" collapsed="false">
      <c r="B390" s="13" t="s">
        <v>216</v>
      </c>
      <c r="C390" s="28" t="n">
        <f aca="false">$D$389*sf*(1+close)+base*sf+fit*sf</f>
        <v>7827400</v>
      </c>
      <c r="E390" s="28" t="n">
        <f aca="false">C390*bank_pct</f>
        <v>3913700</v>
      </c>
      <c r="G390" s="28" t="n">
        <f aca="false">C390*cdc_pct</f>
        <v>3130960</v>
      </c>
      <c r="I390" s="28" t="n">
        <f aca="false">-PMT($H$389/12,amort*12,E390)</f>
        <v>29587.0008228405</v>
      </c>
      <c r="K390" s="28" t="n">
        <f aca="false">-PMT($J$389/12,amort*12,G390)</f>
        <v>22208.9312109448</v>
      </c>
    </row>
    <row r="391" customFormat="false" ht="15" hidden="false" customHeight="false" outlineLevel="0" collapsed="false">
      <c r="B391" s="13" t="s">
        <v>217</v>
      </c>
      <c r="C391" s="28" t="n">
        <f aca="false">-FV($H$389/12,12*C$3,-$I$390,$E$390)-FV($J$389/12,12*C$3,-$K$390,$G$390)</f>
        <v>7044660</v>
      </c>
      <c r="D391" s="28" t="n">
        <f aca="false">-FV($H$389/12,12*D$3,-$I$390,$E$390)-FV($J$389/12,12*D$3,-$K$390,$G$390)</f>
        <v>6943848.99429119</v>
      </c>
      <c r="E391" s="28" t="n">
        <f aca="false">-FV($H$389/12,12*E$3,-$I$390,$E$390)-FV($J$389/12,12*E$3,-$K$390,$G$390)</f>
        <v>6835297.46381039</v>
      </c>
      <c r="F391" s="28" t="n">
        <f aca="false">-FV($H$389/12,12*F$3,-$I$390,$E$390)-FV($J$389/12,12*F$3,-$K$390,$G$390)</f>
        <v>6718409.58031973</v>
      </c>
      <c r="G391" s="28" t="n">
        <f aca="false">-FV($H$389/12,12*G$3,-$I$390,$E$390)-FV($J$389/12,12*G$3,-$K$390,$G$390)</f>
        <v>6592543.53803389</v>
      </c>
      <c r="H391" s="28" t="n">
        <f aca="false">-FV($H$389/12,12*H$3,-$I$390,$E$390)-FV($J$389/12,12*H$3,-$K$390,$G$390)</f>
        <v>6457007.99709932</v>
      </c>
      <c r="I391" s="28" t="n">
        <f aca="false">-FV($H$389/12,12*I$3,-$I$390,$E$390)-FV($J$389/12,12*I$3,-$K$390,$G$390)</f>
        <v>6311058.25131057</v>
      </c>
      <c r="J391" s="28" t="n">
        <f aca="false">-FV($H$389/12,12*J$3,-$I$390,$E$390)-FV($J$389/12,12*J$3,-$K$390,$G$390)</f>
        <v>6153892.09863247</v>
      </c>
      <c r="K391" s="28" t="n">
        <f aca="false">-FV($H$389/12,12*K$3,-$I$390,$E$390)-FV($J$389/12,12*K$3,-$K$390,$G$390)</f>
        <v>5984645.39142729</v>
      </c>
      <c r="L391" s="28" t="n">
        <f aca="false">-FV($H$389/12,12*L$3,-$I$390,$E$390)-FV($J$389/12,12*L$3,-$K$390,$G$390)</f>
        <v>5802387.241487</v>
      </c>
      <c r="M391" s="28" t="n">
        <f aca="false">-FV($H$389/12,12*M$3,-$I$390,$E$390)-FV($J$389/12,12*M$3,-$K$390,$G$390)</f>
        <v>5606114.85302999</v>
      </c>
    </row>
    <row r="392" customFormat="false" ht="15" hidden="false" customHeight="false" outlineLevel="0" collapsed="false">
      <c r="B392" s="13" t="s">
        <v>169</v>
      </c>
      <c r="C392" s="28" t="n">
        <v>0</v>
      </c>
      <c r="D392" s="28" t="n">
        <f aca="false">(($I$390+$K$390)*12)-(C391-D391)</f>
        <v>520740.178696611</v>
      </c>
      <c r="E392" s="28" t="n">
        <f aca="false">(($I$390+$K$390)*12)-(D391-E391)</f>
        <v>512999.653924621</v>
      </c>
      <c r="F392" s="28" t="n">
        <f aca="false">(($I$390+$K$390)*12)-(E391-F391)</f>
        <v>504663.300914768</v>
      </c>
      <c r="G392" s="28" t="n">
        <f aca="false">(($I$390+$K$390)*12)-(F391-G391)</f>
        <v>495685.142119585</v>
      </c>
      <c r="H392" s="28" t="n">
        <f aca="false">(($I$390+$K$390)*12)-(G391-H391)</f>
        <v>486015.643470848</v>
      </c>
      <c r="I392" s="28" t="n">
        <f aca="false">(($I$390+$K$390)*12)-(H391-I391)</f>
        <v>475601.438616682</v>
      </c>
      <c r="J392" s="28" t="n">
        <f aca="false">(($I$390+$K$390)*12)-(I391-J391)</f>
        <v>464385.031727316</v>
      </c>
      <c r="K392" s="28" t="n">
        <f aca="false">(($I$390+$K$390)*12)-(J391-K391)</f>
        <v>452304.477200245</v>
      </c>
      <c r="L392" s="28" t="n">
        <f aca="false">(($I$390+$K$390)*12)-(K391-L391)</f>
        <v>439293.034465132</v>
      </c>
      <c r="M392" s="28" t="n">
        <f aca="false">(($I$390+$K$390)*12)-(L391-M391)</f>
        <v>425278.79594842</v>
      </c>
    </row>
    <row r="393" customFormat="false" ht="15" hidden="false" customHeight="false" outlineLevel="0" collapsed="false">
      <c r="B393" s="13" t="s">
        <v>171</v>
      </c>
      <c r="C393" s="28" t="n">
        <v>0</v>
      </c>
      <c r="D393" s="28" t="n">
        <f aca="false">(($D$389*sf*(1+close)*bldg_share+base*sf)/bldg_life)+IF(D$3=1,fit*sf*bonus,0)+fit*sf*(1-bonus)/15</f>
        <v>2841902.56410256</v>
      </c>
      <c r="E393" s="28" t="n">
        <f aca="false">(($D$389*sf*(1+close)*bldg_share+base*sf)/bldg_life)+IF(E$3=1,fit*sf*bonus,0)+fit*sf*(1-bonus)/15</f>
        <v>106502.564102564</v>
      </c>
      <c r="F393" s="28" t="n">
        <f aca="false">(($D$389*sf*(1+close)*bldg_share+base*sf)/bldg_life)+IF(F$3=1,fit*sf*bonus,0)+fit*sf*(1-bonus)/15</f>
        <v>106502.564102564</v>
      </c>
      <c r="G393" s="28" t="n">
        <f aca="false">(($D$389*sf*(1+close)*bldg_share+base*sf)/bldg_life)+IF(G$3=1,fit*sf*bonus,0)+fit*sf*(1-bonus)/15</f>
        <v>106502.564102564</v>
      </c>
      <c r="H393" s="28" t="n">
        <f aca="false">(($D$389*sf*(1+close)*bldg_share+base*sf)/bldg_life)+IF(H$3=1,fit*sf*bonus,0)+fit*sf*(1-bonus)/15</f>
        <v>106502.564102564</v>
      </c>
      <c r="I393" s="28" t="n">
        <f aca="false">(($D$389*sf*(1+close)*bldg_share+base*sf)/bldg_life)+IF(I$3=1,fit*sf*bonus,0)+fit*sf*(1-bonus)/15</f>
        <v>106502.564102564</v>
      </c>
      <c r="J393" s="28" t="n">
        <f aca="false">(($D$389*sf*(1+close)*bldg_share+base*sf)/bldg_life)+IF(J$3=1,fit*sf*bonus,0)+fit*sf*(1-bonus)/15</f>
        <v>106502.564102564</v>
      </c>
      <c r="K393" s="28" t="n">
        <f aca="false">(($D$389*sf*(1+close)*bldg_share+base*sf)/bldg_life)+IF(K$3=1,fit*sf*bonus,0)+fit*sf*(1-bonus)/15</f>
        <v>106502.564102564</v>
      </c>
      <c r="L393" s="28" t="n">
        <f aca="false">(($D$389*sf*(1+close)*bldg_share+base*sf)/bldg_life)+IF(L$3=1,fit*sf*bonus,0)+fit*sf*(1-bonus)/15</f>
        <v>106502.564102564</v>
      </c>
      <c r="M393" s="28" t="n">
        <f aca="false">(($D$389*sf*(1+close)*bldg_share+base*sf)/bldg_life)+IF(M$3=1,fit*sf*bonus,0)+fit*sf*(1-bonus)/15</f>
        <v>106502.564102564</v>
      </c>
    </row>
    <row r="394" customFormat="false" ht="15" hidden="false" customHeight="false" outlineLevel="0" collapsed="false">
      <c r="B394" s="13" t="s">
        <v>218</v>
      </c>
      <c r="C394" s="28" t="n">
        <f aca="false">-($C$390-$E$390-$G$390)-carry_m/12*($E$390*$H$389+$G$390*$J$389+Model!$D$8*sf)*(1-tax)</f>
        <v>-1009252.42188667</v>
      </c>
      <c r="D394" s="28" t="n">
        <f aca="false">-((($I$390+$K$390)*12)+Model!D35)+tax*(D392+Model!D35+D393)</f>
        <v>-180876.537917597</v>
      </c>
      <c r="E394" s="28" t="n">
        <f aca="false">-((($I$390+$K$390)*12)+Model!E35)+tax*(E392+Model!E35+E393)</f>
        <v>-764900.458004715</v>
      </c>
      <c r="F394" s="28" t="n">
        <f aca="false">-((($I$390+$K$390)*12)+Model!F35)+tax*(F392+Model!F35+F393)</f>
        <v>-774854.434318334</v>
      </c>
      <c r="G394" s="28" t="n">
        <f aca="false">-((($I$390+$K$390)*12)+Model!G35)+tax*(G392+Model!G35+G393)</f>
        <v>-785189.290112319</v>
      </c>
      <c r="H394" s="28" t="n">
        <f aca="false">-((($I$390+$K$390)*12)+Model!H35)+tax*(H392+Model!H35+H393)</f>
        <v>-795922.81054896</v>
      </c>
      <c r="I394" s="28" t="n">
        <f aca="false">-((($I$390+$K$390)*12)+Model!I35)+tax*(I392+Model!I35+I393)</f>
        <v>-807073.807060353</v>
      </c>
      <c r="J394" s="28" t="n">
        <f aca="false">-((($I$390+$K$390)*12)+Model!J35)+tax*(J392+Model!J35+J393)</f>
        <v>-818662.1864039</v>
      </c>
      <c r="K394" s="28" t="n">
        <f aca="false">-((($I$390+$K$390)*12)+Model!K35)+tax*(K392+Model!K35+K393)</f>
        <v>-830709.024768267</v>
      </c>
      <c r="L394" s="28" t="n">
        <f aca="false">-((($I$390+$K$390)*12)+Model!L35)+tax*(L392+Model!L35+L393)</f>
        <v>-843236.647313734</v>
      </c>
      <c r="M394" s="28" t="n">
        <f aca="false">-((($I$390+$K$390)*12)+Model!M35)+tax*(M392+Model!M35+M393)+($F$389*sf*(1-sale_cost)-M391-tax*($F$389*sf*(1-sale_cost)-($C$390-SUM($C393:$M393))))</f>
        <v>-1889189.56357871</v>
      </c>
    </row>
    <row r="395" customFormat="false" ht="15" hidden="false" customHeight="false" outlineLevel="0" collapsed="false">
      <c r="B395" s="20" t="s">
        <v>219</v>
      </c>
      <c r="C395" s="28" t="n">
        <f aca="false">C394+NPV(disc,D394:M394)</f>
        <v>-6298412.97165769</v>
      </c>
      <c r="D395" s="29" t="n">
        <f aca="false">C395-Model!$D$68</f>
        <v>-783146.106062985</v>
      </c>
    </row>
    <row r="397" customFormat="false" ht="15" hidden="false" customHeight="false" outlineLevel="0" collapsed="false">
      <c r="B397" s="20" t="s">
        <v>268</v>
      </c>
      <c r="C397" s="13" t="s">
        <v>212</v>
      </c>
      <c r="D397" s="26" t="n">
        <f aca="false">Sensitivity!$B$19</f>
        <v>230</v>
      </c>
      <c r="E397" s="13" t="s">
        <v>213</v>
      </c>
      <c r="F397" s="26" t="n">
        <f aca="false">user_val*(1+exit_grow)^10</f>
        <v>243.216063397308</v>
      </c>
      <c r="G397" s="13" t="s">
        <v>214</v>
      </c>
      <c r="H397" s="27" t="n">
        <f aca="false">bank_rate+Sensitivity!G$14</f>
        <v>0.0826</v>
      </c>
      <c r="I397" s="13" t="s">
        <v>215</v>
      </c>
      <c r="J397" s="27" t="n">
        <f aca="false">cdc_rate+Sensitivity!G$14</f>
        <v>0.0754</v>
      </c>
    </row>
    <row r="398" customFormat="false" ht="15" hidden="false" customHeight="false" outlineLevel="0" collapsed="false">
      <c r="B398" s="13" t="s">
        <v>216</v>
      </c>
      <c r="C398" s="28" t="n">
        <f aca="false">$D$397*sf*(1+close)+base*sf+fit*sf</f>
        <v>7827400</v>
      </c>
      <c r="E398" s="28" t="n">
        <f aca="false">C398*bank_pct</f>
        <v>3913700</v>
      </c>
      <c r="G398" s="28" t="n">
        <f aca="false">C398*cdc_pct</f>
        <v>3130960</v>
      </c>
      <c r="I398" s="28" t="n">
        <f aca="false">-PMT($H$397/12,amort*12,E398)</f>
        <v>30883.730312354</v>
      </c>
      <c r="K398" s="28" t="n">
        <f aca="false">-PMT($J$397/12,amort*12,G398)</f>
        <v>23219.0421727965</v>
      </c>
    </row>
    <row r="399" customFormat="false" ht="15" hidden="false" customHeight="false" outlineLevel="0" collapsed="false">
      <c r="B399" s="13" t="s">
        <v>217</v>
      </c>
      <c r="C399" s="28" t="n">
        <f aca="false">-FV($H$397/12,12*C$3,-$I$398,$E$398)-FV($J$397/12,12*C$3,-$K$398,$G$398)</f>
        <v>7044660</v>
      </c>
      <c r="D399" s="28" t="n">
        <f aca="false">-FV($H$397/12,12*D$3,-$I$398,$E$398)-FV($J$397/12,12*D$3,-$K$398,$G$398)</f>
        <v>6951437.18072961</v>
      </c>
      <c r="E399" s="28" t="n">
        <f aca="false">-FV($H$397/12,12*E$3,-$I$398,$E$398)-FV($J$397/12,12*E$3,-$K$398,$G$398)</f>
        <v>6850556.79174591</v>
      </c>
      <c r="F399" s="28" t="n">
        <f aca="false">-FV($H$397/12,12*F$3,-$I$398,$E$398)-FV($J$397/12,12*F$3,-$K$398,$G$398)</f>
        <v>6741388.42835219</v>
      </c>
      <c r="G399" s="28" t="n">
        <f aca="false">-FV($H$397/12,12*G$3,-$I$398,$E$398)-FV($J$397/12,12*G$3,-$K$398,$G$398)</f>
        <v>6623249.67470781</v>
      </c>
      <c r="H399" s="28" t="n">
        <f aca="false">-FV($H$397/12,12*H$3,-$I$398,$E$398)-FV($J$397/12,12*H$3,-$K$398,$G$398)</f>
        <v>6495401.80345013</v>
      </c>
      <c r="I399" s="28" t="n">
        <f aca="false">-FV($H$397/12,12*I$3,-$I$398,$E$398)-FV($J$397/12,12*I$3,-$K$398,$G$398)</f>
        <v>6357045.1190038</v>
      </c>
      <c r="J399" s="28" t="n">
        <f aca="false">-FV($H$397/12,12*J$3,-$I$398,$E$398)-FV($J$397/12,12*J$3,-$K$398,$G$398)</f>
        <v>6207313.91499404</v>
      </c>
      <c r="K399" s="28" t="n">
        <f aca="false">-FV($H$397/12,12*K$3,-$I$398,$E$398)-FV($J$397/12,12*K$3,-$K$398,$G$398)</f>
        <v>6045271.01371941</v>
      </c>
      <c r="L399" s="28" t="n">
        <f aca="false">-FV($H$397/12,12*L$3,-$I$398,$E$398)-FV($J$397/12,12*L$3,-$K$398,$G$398)</f>
        <v>5869901.85297324</v>
      </c>
      <c r="M399" s="28" t="n">
        <f aca="false">-FV($H$397/12,12*M$3,-$I$398,$E$398)-FV($J$397/12,12*M$3,-$K$398,$G$398)</f>
        <v>5680108.0826146</v>
      </c>
    </row>
    <row r="400" customFormat="false" ht="15" hidden="false" customHeight="false" outlineLevel="0" collapsed="false">
      <c r="B400" s="13" t="s">
        <v>169</v>
      </c>
      <c r="C400" s="28" t="n">
        <v>0</v>
      </c>
      <c r="D400" s="28" t="n">
        <f aca="false">(($I$398+$K$398)*12)-(C399-D399)</f>
        <v>556010.450551414</v>
      </c>
      <c r="E400" s="28" t="n">
        <f aca="false">(($I$398+$K$398)*12)-(D399-E399)</f>
        <v>548352.880838105</v>
      </c>
      <c r="F400" s="28" t="n">
        <f aca="false">(($I$398+$K$398)*12)-(E399-F399)</f>
        <v>540064.90642809</v>
      </c>
      <c r="G400" s="28" t="n">
        <f aca="false">(($I$398+$K$398)*12)-(F399-G399)</f>
        <v>531094.516177429</v>
      </c>
      <c r="H400" s="28" t="n">
        <f aca="false">(($I$398+$K$398)*12)-(G399-H399)</f>
        <v>521385.398564124</v>
      </c>
      <c r="I400" s="28" t="n">
        <f aca="false">(($I$398+$K$398)*12)-(H399-I399)</f>
        <v>510876.585375473</v>
      </c>
      <c r="J400" s="28" t="n">
        <f aca="false">(($I$398+$K$398)*12)-(I399-J399)</f>
        <v>499502.065812049</v>
      </c>
      <c r="K400" s="28" t="n">
        <f aca="false">(($I$398+$K$398)*12)-(J399-K399)</f>
        <v>487190.368547172</v>
      </c>
      <c r="L400" s="28" t="n">
        <f aca="false">(($I$398+$K$398)*12)-(K399-L399)</f>
        <v>473864.109075638</v>
      </c>
      <c r="M400" s="28" t="n">
        <f aca="false">(($I$398+$K$398)*12)-(L399-M399)</f>
        <v>459439.499463167</v>
      </c>
    </row>
    <row r="401" customFormat="false" ht="15" hidden="false" customHeight="false" outlineLevel="0" collapsed="false">
      <c r="B401" s="13" t="s">
        <v>171</v>
      </c>
      <c r="C401" s="28" t="n">
        <v>0</v>
      </c>
      <c r="D401" s="28" t="n">
        <f aca="false">(($D$397*sf*(1+close)*bldg_share+base*sf)/bldg_life)+IF(D$3=1,fit*sf*bonus,0)+fit*sf*(1-bonus)/15</f>
        <v>2841902.56410256</v>
      </c>
      <c r="E401" s="28" t="n">
        <f aca="false">(($D$397*sf*(1+close)*bldg_share+base*sf)/bldg_life)+IF(E$3=1,fit*sf*bonus,0)+fit*sf*(1-bonus)/15</f>
        <v>106502.564102564</v>
      </c>
      <c r="F401" s="28" t="n">
        <f aca="false">(($D$397*sf*(1+close)*bldg_share+base*sf)/bldg_life)+IF(F$3=1,fit*sf*bonus,0)+fit*sf*(1-bonus)/15</f>
        <v>106502.564102564</v>
      </c>
      <c r="G401" s="28" t="n">
        <f aca="false">(($D$397*sf*(1+close)*bldg_share+base*sf)/bldg_life)+IF(G$3=1,fit*sf*bonus,0)+fit*sf*(1-bonus)/15</f>
        <v>106502.564102564</v>
      </c>
      <c r="H401" s="28" t="n">
        <f aca="false">(($D$397*sf*(1+close)*bldg_share+base*sf)/bldg_life)+IF(H$3=1,fit*sf*bonus,0)+fit*sf*(1-bonus)/15</f>
        <v>106502.564102564</v>
      </c>
      <c r="I401" s="28" t="n">
        <f aca="false">(($D$397*sf*(1+close)*bldg_share+base*sf)/bldg_life)+IF(I$3=1,fit*sf*bonus,0)+fit*sf*(1-bonus)/15</f>
        <v>106502.564102564</v>
      </c>
      <c r="J401" s="28" t="n">
        <f aca="false">(($D$397*sf*(1+close)*bldg_share+base*sf)/bldg_life)+IF(J$3=1,fit*sf*bonus,0)+fit*sf*(1-bonus)/15</f>
        <v>106502.564102564</v>
      </c>
      <c r="K401" s="28" t="n">
        <f aca="false">(($D$397*sf*(1+close)*bldg_share+base*sf)/bldg_life)+IF(K$3=1,fit*sf*bonus,0)+fit*sf*(1-bonus)/15</f>
        <v>106502.564102564</v>
      </c>
      <c r="L401" s="28" t="n">
        <f aca="false">(($D$397*sf*(1+close)*bldg_share+base*sf)/bldg_life)+IF(L$3=1,fit*sf*bonus,0)+fit*sf*(1-bonus)/15</f>
        <v>106502.564102564</v>
      </c>
      <c r="M401" s="28" t="n">
        <f aca="false">(($D$397*sf*(1+close)*bldg_share+base*sf)/bldg_life)+IF(M$3=1,fit*sf*bonus,0)+fit*sf*(1-bonus)/15</f>
        <v>106502.564102564</v>
      </c>
    </row>
    <row r="402" customFormat="false" ht="15" hidden="false" customHeight="false" outlineLevel="0" collapsed="false">
      <c r="B402" s="13" t="s">
        <v>218</v>
      </c>
      <c r="C402" s="28" t="n">
        <f aca="false">-($C$398-$E$398-$G$398)-carry_m/12*($E$398*$H$397+$G$398*$J$397+Model!$D$8*sf)*(1-tax)</f>
        <v>-1018527.89088667</v>
      </c>
      <c r="D402" s="28" t="n">
        <f aca="false">-((($I$398+$K$398)*12)+Model!D35)+tax*(D400+Model!D35+D401)</f>
        <v>-201151.866244471</v>
      </c>
      <c r="E402" s="28" t="n">
        <f aca="false">-((($I$398+$K$398)*12)+Model!E35)+tax*(E400+Model!E35+E401)</f>
        <v>-785158.365769266</v>
      </c>
      <c r="F402" s="28" t="n">
        <f aca="false">-((($I$398+$K$398)*12)+Model!F35)+tax*(F400+Model!F35+F401)</f>
        <v>-795102.182576919</v>
      </c>
      <c r="G402" s="28" t="n">
        <f aca="false">-((($I$398+$K$398)*12)+Model!G35)+tax*(G400+Model!G35+G401)</f>
        <v>-805435.406976554</v>
      </c>
      <c r="H402" s="28" t="n">
        <f aca="false">-((($I$398+$K$398)*12)+Model!H35)+tax*(H400+Model!H35+H401)</f>
        <v>-816177.247395755</v>
      </c>
      <c r="I402" s="28" t="n">
        <f aca="false">-((($I$398+$K$398)*12)+Model!I35)+tax*(I400+Model!I35+I401)</f>
        <v>-827348.11165739</v>
      </c>
      <c r="J402" s="28" t="n">
        <f aca="false">-((($I$398+$K$398)*12)+Model!J35)+tax*(J400+Model!J35+J401)</f>
        <v>-838969.694662488</v>
      </c>
      <c r="K402" s="28" t="n">
        <f aca="false">-((($I$398+$K$398)*12)+Model!K35)+tax*(K400+Model!K35+K401)</f>
        <v>-851065.073001795</v>
      </c>
      <c r="L402" s="28" t="n">
        <f aca="false">-((($I$398+$K$398)*12)+Model!L35)+tax*(L400+Model!L35+L401)</f>
        <v>-863658.80706191</v>
      </c>
      <c r="M402" s="28" t="n">
        <f aca="false">-((($I$398+$K$398)*12)+Model!M35)+tax*(M400+Model!M35+M401)+($F$397*sf*(1-sale_cost)-M399-tax*($F$397*sf*(1-sale_cost)-($C$398-SUM($C401:$M401))))</f>
        <v>-1983691.1308416</v>
      </c>
    </row>
    <row r="403" customFormat="false" ht="15" hidden="false" customHeight="false" outlineLevel="0" collapsed="false">
      <c r="B403" s="20" t="s">
        <v>219</v>
      </c>
      <c r="C403" s="28" t="n">
        <f aca="false">C402+NPV(disc,D402:M402)</f>
        <v>-6478181.32996071</v>
      </c>
      <c r="D403" s="29" t="n">
        <f aca="false">C403-Model!$D$68</f>
        <v>-962914.464366</v>
      </c>
    </row>
    <row r="405" customFormat="false" ht="15" hidden="false" customHeight="false" outlineLevel="0" collapsed="false">
      <c r="B405" s="20" t="s">
        <v>269</v>
      </c>
      <c r="C405" s="13" t="s">
        <v>183</v>
      </c>
      <c r="D405" s="30" t="n">
        <f aca="false">Sensitivity!$B$24</f>
        <v>3</v>
      </c>
      <c r="E405" s="13" t="s">
        <v>270</v>
      </c>
      <c r="F405" s="27" t="n">
        <f aca="false">Sensitivity!C$23</f>
        <v>0.07</v>
      </c>
    </row>
    <row r="406" customFormat="false" ht="15" hidden="false" customHeight="false" outlineLevel="0" collapsed="false">
      <c r="B406" s="13" t="s">
        <v>271</v>
      </c>
      <c r="C406" s="28" t="n">
        <f aca="false">INDEX(Model!$C$10:$N$10,1,$D$405+2)*sf/$F$405</f>
        <v>7676800.98980928</v>
      </c>
      <c r="D406" s="28" t="n">
        <f aca="false">C406*(1-sale_cost)</f>
        <v>7446496.960115</v>
      </c>
      <c r="E406" s="28" t="n">
        <f aca="false">D406-(Model!$C$22-SUMPRODUCT((Model!$D$4:$M$4&lt;=$D$405)*Model!$D$36:$M$36))</f>
        <v>3439789.26780731</v>
      </c>
      <c r="F406" s="28" t="n">
        <f aca="false">INDEX(Model!$C$30:$M$30,1,$D$405+1)+INDEX(Model!$C$31:$M$31,1,$D$405+1)</f>
        <v>5996205.87455343</v>
      </c>
      <c r="G406" s="28" t="n">
        <f aca="false">D406-F406-tax*E406</f>
        <v>727935.339322041</v>
      </c>
      <c r="H406" s="28" t="n">
        <f aca="false">INDEX(Model!$C$10:$N$10,1,$D$405+2)*sf</f>
        <v>537376.06928665</v>
      </c>
    </row>
    <row r="407" customFormat="false" ht="15" hidden="false" customHeight="false" outlineLevel="0" collapsed="false">
      <c r="B407" s="13" t="s">
        <v>272</v>
      </c>
      <c r="C407" s="28" t="n">
        <f aca="false">Model!$C$37+Model!$C$38</f>
        <v>-904955.548086667</v>
      </c>
      <c r="D407" s="28" t="n">
        <f aca="false">IF(D$3&lt;=$D$405,Model!D37+Model!D38,-($H$406*(1+slb_esc)^(D$3-$D$405-1)+Model!D35)*(1-tax))+IF(D$3=$D$405,$G$406,0)</f>
        <v>-113297.120635235</v>
      </c>
      <c r="E407" s="28" t="n">
        <f aca="false">IF(E$3&lt;=$D$405,Model!E37+Model!E38,-($H$406*(1+slb_esc)^(E$3-$D$405-1)+Model!E35)*(1-tax))+IF(E$3=$D$405,$G$406,0)</f>
        <v>-697159.135167405</v>
      </c>
      <c r="F407" s="28" t="n">
        <f aca="false">IF(F$3&lt;=$D$405,Model!F37+Model!F38,-($H$406*(1+slb_esc)^(F$3-$D$405-1)+Model!F35)*(1-tax))+IF(F$3=$D$405,$G$406,0)</f>
        <v>21004.3871821536</v>
      </c>
      <c r="G407" s="28" t="n">
        <f aca="false">IF(G$3&lt;=$D$405,Model!G37+Model!G38,-($H$406*(1+slb_esc)^(G$3-$D$405-1)+Model!G35)*(1-tax))+IF(G$3=$D$405,$G$406,0)</f>
        <v>-714624.61875</v>
      </c>
      <c r="H407" s="28" t="n">
        <f aca="false">IF(H$3&lt;=$D$405,Model!H37+Model!H38,-($H$406*(1+slb_esc)^(H$3-$D$405-1)+Model!H35)*(1-tax))+IF(H$3=$D$405,$G$406,0)</f>
        <v>-731818.086365135</v>
      </c>
      <c r="I407" s="28" t="n">
        <f aca="false">IF(I$3&lt;=$D$405,Model!I37+Model!I38,-($H$406*(1+slb_esc)^(I$3-$D$405-1)+Model!I35)*(1-tax))+IF(I$3=$D$405,$G$406,0)</f>
        <v>-749442.452589777</v>
      </c>
      <c r="J407" s="28" t="n">
        <f aca="false">IF(J$3&lt;=$D$405,Model!J37+Model!J38,-($H$406*(1+slb_esc)^(J$3-$D$405-1)+Model!J35)*(1-tax))+IF(J$3=$D$405,$G$406,0)</f>
        <v>-767508.946273833</v>
      </c>
      <c r="K407" s="28" t="n">
        <f aca="false">IF(K$3&lt;=$D$405,Model!K37+Model!K38,-($H$406*(1+slb_esc)^(K$3-$D$405-1)+Model!K35)*(1-tax))+IF(K$3=$D$405,$G$406,0)</f>
        <v>-786029.099170537</v>
      </c>
      <c r="L407" s="28" t="n">
        <f aca="false">IF(L$3&lt;=$D$405,Model!L37+Model!L38,-($H$406*(1+slb_esc)^(L$3-$D$405-1)+Model!L35)*(1-tax))+IF(L$3=$D$405,$G$406,0)</f>
        <v>-805014.754344312</v>
      </c>
      <c r="M407" s="28" t="n">
        <f aca="false">IF(M$3&lt;=$D$405,Model!M37+Model!M38,-($H$406*(1+slb_esc)^(M$3-$D$405-1)+Model!M35)*(1-tax))+IF(M$3=$D$405,$G$406,0)</f>
        <v>-824478.074817273</v>
      </c>
    </row>
    <row r="408" customFormat="false" ht="15" hidden="false" customHeight="false" outlineLevel="0" collapsed="false">
      <c r="B408" s="20" t="s">
        <v>273</v>
      </c>
      <c r="C408" s="28" t="n">
        <f aca="false">C407+NPV(disc,D407:M407)</f>
        <v>-4743599.14981724</v>
      </c>
      <c r="D408" s="29" t="n">
        <f aca="false">C408-Model!$D$68</f>
        <v>771667.715777461</v>
      </c>
    </row>
    <row r="410" customFormat="false" ht="15" hidden="false" customHeight="false" outlineLevel="0" collapsed="false">
      <c r="B410" s="20" t="s">
        <v>274</v>
      </c>
      <c r="C410" s="13" t="s">
        <v>183</v>
      </c>
      <c r="D410" s="30" t="n">
        <f aca="false">Sensitivity!$B$24</f>
        <v>3</v>
      </c>
      <c r="E410" s="13" t="s">
        <v>270</v>
      </c>
      <c r="F410" s="27" t="n">
        <f aca="false">Sensitivity!D$23</f>
        <v>0.075</v>
      </c>
    </row>
    <row r="411" customFormat="false" ht="15" hidden="false" customHeight="false" outlineLevel="0" collapsed="false">
      <c r="B411" s="13" t="s">
        <v>271</v>
      </c>
      <c r="C411" s="28" t="n">
        <f aca="false">INDEX(Model!$C$10:$N$10,1,$D$410+2)*sf/$F$410</f>
        <v>7165014.25715533</v>
      </c>
      <c r="D411" s="28" t="n">
        <f aca="false">C411*(1-sale_cost)</f>
        <v>6950063.82944067</v>
      </c>
      <c r="E411" s="28" t="n">
        <f aca="false">D411-(Model!$C$22-SUMPRODUCT((Model!$D$4:$M$4&lt;=$D$410)*Model!$D$36:$M$36))</f>
        <v>2943356.13713298</v>
      </c>
      <c r="F411" s="28" t="n">
        <f aca="false">INDEX(Model!$C$30:$M$30,1,$D$410+1)+INDEX(Model!$C$31:$M$31,1,$D$410+1)</f>
        <v>5996205.87455343</v>
      </c>
      <c r="G411" s="28" t="n">
        <f aca="false">D411-F411-tax*E411</f>
        <v>335753.166089318</v>
      </c>
      <c r="H411" s="28" t="n">
        <f aca="false">INDEX(Model!$C$10:$N$10,1,$D$410+2)*sf</f>
        <v>537376.06928665</v>
      </c>
    </row>
    <row r="412" customFormat="false" ht="15" hidden="false" customHeight="false" outlineLevel="0" collapsed="false">
      <c r="B412" s="13" t="s">
        <v>272</v>
      </c>
      <c r="C412" s="28" t="n">
        <f aca="false">Model!$C$37+Model!$C$38</f>
        <v>-904955.548086667</v>
      </c>
      <c r="D412" s="28" t="n">
        <f aca="false">IF(D$3&lt;=$D$410,Model!D37+Model!D38,-($H$411*(1+slb_esc)^(D$3-$D$410-1)+Model!D35)*(1-tax))+IF(D$3=$D$410,$G$411,0)</f>
        <v>-113297.120635235</v>
      </c>
      <c r="E412" s="28" t="n">
        <f aca="false">IF(E$3&lt;=$D$410,Model!E37+Model!E38,-($H$411*(1+slb_esc)^(E$3-$D$410-1)+Model!E35)*(1-tax))+IF(E$3=$D$410,$G$411,0)</f>
        <v>-697159.135167405</v>
      </c>
      <c r="F412" s="28" t="n">
        <f aca="false">IF(F$3&lt;=$D$410,Model!F37+Model!F38,-($H$411*(1+slb_esc)^(F$3-$D$410-1)+Model!F35)*(1-tax))+IF(F$3=$D$410,$G$411,0)</f>
        <v>-371177.786050569</v>
      </c>
      <c r="G412" s="28" t="n">
        <f aca="false">IF(G$3&lt;=$D$410,Model!G37+Model!G38,-($H$411*(1+slb_esc)^(G$3-$D$410-1)+Model!G35)*(1-tax))+IF(G$3=$D$410,$G$411,0)</f>
        <v>-714624.61875</v>
      </c>
      <c r="H412" s="28" t="n">
        <f aca="false">IF(H$3&lt;=$D$410,Model!H37+Model!H38,-($H$411*(1+slb_esc)^(H$3-$D$410-1)+Model!H35)*(1-tax))+IF(H$3=$D$410,$G$411,0)</f>
        <v>-731818.086365135</v>
      </c>
      <c r="I412" s="28" t="n">
        <f aca="false">IF(I$3&lt;=$D$410,Model!I37+Model!I38,-($H$411*(1+slb_esc)^(I$3-$D$410-1)+Model!I35)*(1-tax))+IF(I$3=$D$410,$G$411,0)</f>
        <v>-749442.452589777</v>
      </c>
      <c r="J412" s="28" t="n">
        <f aca="false">IF(J$3&lt;=$D$410,Model!J37+Model!J38,-($H$411*(1+slb_esc)^(J$3-$D$410-1)+Model!J35)*(1-tax))+IF(J$3=$D$410,$G$411,0)</f>
        <v>-767508.946273833</v>
      </c>
      <c r="K412" s="28" t="n">
        <f aca="false">IF(K$3&lt;=$D$410,Model!K37+Model!K38,-($H$411*(1+slb_esc)^(K$3-$D$410-1)+Model!K35)*(1-tax))+IF(K$3=$D$410,$G$411,0)</f>
        <v>-786029.099170537</v>
      </c>
      <c r="L412" s="28" t="n">
        <f aca="false">IF(L$3&lt;=$D$410,Model!L37+Model!L38,-($H$411*(1+slb_esc)^(L$3-$D$410-1)+Model!L35)*(1-tax))+IF(L$3=$D$410,$G$411,0)</f>
        <v>-805014.754344312</v>
      </c>
      <c r="M412" s="28" t="n">
        <f aca="false">IF(M$3&lt;=$D$410,Model!M37+Model!M38,-($H$411*(1+slb_esc)^(M$3-$D$410-1)+Model!M35)*(1-tax))+IF(M$3=$D$410,$G$411,0)</f>
        <v>-824478.074817273</v>
      </c>
    </row>
    <row r="413" customFormat="false" ht="15" hidden="false" customHeight="false" outlineLevel="0" collapsed="false">
      <c r="B413" s="20" t="s">
        <v>273</v>
      </c>
      <c r="C413" s="28" t="n">
        <f aca="false">C412+NPV(disc,D412:M412)</f>
        <v>-5054926.00328274</v>
      </c>
      <c r="D413" s="29" t="n">
        <f aca="false">C413-Model!$D$68</f>
        <v>460340.86231197</v>
      </c>
    </row>
    <row r="415" customFormat="false" ht="15" hidden="false" customHeight="false" outlineLevel="0" collapsed="false">
      <c r="B415" s="20" t="s">
        <v>275</v>
      </c>
      <c r="C415" s="13" t="s">
        <v>183</v>
      </c>
      <c r="D415" s="30" t="n">
        <f aca="false">Sensitivity!$B$24</f>
        <v>3</v>
      </c>
      <c r="E415" s="13" t="s">
        <v>270</v>
      </c>
      <c r="F415" s="27" t="n">
        <f aca="false">Sensitivity!E$23</f>
        <v>0.08</v>
      </c>
    </row>
    <row r="416" customFormat="false" ht="15" hidden="false" customHeight="false" outlineLevel="0" collapsed="false">
      <c r="B416" s="13" t="s">
        <v>271</v>
      </c>
      <c r="C416" s="28" t="n">
        <f aca="false">INDEX(Model!$C$10:$N$10,1,$D$415+2)*sf/$F$415</f>
        <v>6717200.86608312</v>
      </c>
      <c r="D416" s="28" t="n">
        <f aca="false">C416*(1-sale_cost)</f>
        <v>6515684.84010063</v>
      </c>
      <c r="E416" s="28" t="n">
        <f aca="false">D416-(Model!$C$22-SUMPRODUCT((Model!$D$4:$M$4&lt;=$D$415)*Model!$D$36:$M$36))</f>
        <v>2508977.14779293</v>
      </c>
      <c r="F416" s="28" t="n">
        <f aca="false">INDEX(Model!$C$30:$M$30,1,$D$415+1)+INDEX(Model!$C$31:$M$31,1,$D$415+1)</f>
        <v>5996205.87455343</v>
      </c>
      <c r="G416" s="28" t="n">
        <f aca="false">D416-F416-tax*E416</f>
        <v>-7406.23548931489</v>
      </c>
      <c r="H416" s="28" t="n">
        <f aca="false">INDEX(Model!$C$10:$N$10,1,$D$415+2)*sf</f>
        <v>537376.06928665</v>
      </c>
    </row>
    <row r="417" customFormat="false" ht="15" hidden="false" customHeight="false" outlineLevel="0" collapsed="false">
      <c r="B417" s="13" t="s">
        <v>272</v>
      </c>
      <c r="C417" s="28" t="n">
        <f aca="false">Model!$C$37+Model!$C$38</f>
        <v>-904955.548086667</v>
      </c>
      <c r="D417" s="28" t="n">
        <f aca="false">IF(D$3&lt;=$D$415,Model!D37+Model!D38,-($H$416*(1+slb_esc)^(D$3-$D$415-1)+Model!D35)*(1-tax))+IF(D$3=$D$415,$G$416,0)</f>
        <v>-113297.120635235</v>
      </c>
      <c r="E417" s="28" t="n">
        <f aca="false">IF(E$3&lt;=$D$415,Model!E37+Model!E38,-($H$416*(1+slb_esc)^(E$3-$D$415-1)+Model!E35)*(1-tax))+IF(E$3=$D$415,$G$416,0)</f>
        <v>-697159.135167405</v>
      </c>
      <c r="F417" s="28" t="n">
        <f aca="false">IF(F$3&lt;=$D$415,Model!F37+Model!F38,-($H$416*(1+slb_esc)^(F$3-$D$415-1)+Model!F35)*(1-tax))+IF(F$3=$D$415,$G$416,0)</f>
        <v>-714337.187629202</v>
      </c>
      <c r="G417" s="28" t="n">
        <f aca="false">IF(G$3&lt;=$D$415,Model!G37+Model!G38,-($H$416*(1+slb_esc)^(G$3-$D$415-1)+Model!G35)*(1-tax))+IF(G$3=$D$415,$G$416,0)</f>
        <v>-714624.61875</v>
      </c>
      <c r="H417" s="28" t="n">
        <f aca="false">IF(H$3&lt;=$D$415,Model!H37+Model!H38,-($H$416*(1+slb_esc)^(H$3-$D$415-1)+Model!H35)*(1-tax))+IF(H$3=$D$415,$G$416,0)</f>
        <v>-731818.086365135</v>
      </c>
      <c r="I417" s="28" t="n">
        <f aca="false">IF(I$3&lt;=$D$415,Model!I37+Model!I38,-($H$416*(1+slb_esc)^(I$3-$D$415-1)+Model!I35)*(1-tax))+IF(I$3=$D$415,$G$416,0)</f>
        <v>-749442.452589777</v>
      </c>
      <c r="J417" s="28" t="n">
        <f aca="false">IF(J$3&lt;=$D$415,Model!J37+Model!J38,-($H$416*(1+slb_esc)^(J$3-$D$415-1)+Model!J35)*(1-tax))+IF(J$3=$D$415,$G$416,0)</f>
        <v>-767508.946273833</v>
      </c>
      <c r="K417" s="28" t="n">
        <f aca="false">IF(K$3&lt;=$D$415,Model!K37+Model!K38,-($H$416*(1+slb_esc)^(K$3-$D$415-1)+Model!K35)*(1-tax))+IF(K$3=$D$415,$G$416,0)</f>
        <v>-786029.099170537</v>
      </c>
      <c r="L417" s="28" t="n">
        <f aca="false">IF(L$3&lt;=$D$415,Model!L37+Model!L38,-($H$416*(1+slb_esc)^(L$3-$D$415-1)+Model!L35)*(1-tax))+IF(L$3=$D$415,$G$416,0)</f>
        <v>-805014.754344312</v>
      </c>
      <c r="M417" s="28" t="n">
        <f aca="false">IF(M$3&lt;=$D$415,Model!M37+Model!M38,-($H$416*(1+slb_esc)^(M$3-$D$415-1)+Model!M35)*(1-tax))+IF(M$3=$D$415,$G$416,0)</f>
        <v>-824478.074817273</v>
      </c>
    </row>
    <row r="418" customFormat="false" ht="15" hidden="false" customHeight="false" outlineLevel="0" collapsed="false">
      <c r="B418" s="20" t="s">
        <v>273</v>
      </c>
      <c r="C418" s="28" t="n">
        <f aca="false">C417+NPV(disc,D417:M417)</f>
        <v>-5327337.00006504</v>
      </c>
      <c r="D418" s="29" t="n">
        <f aca="false">C418-Model!$D$68</f>
        <v>187929.865529663</v>
      </c>
    </row>
    <row r="420" customFormat="false" ht="15" hidden="false" customHeight="false" outlineLevel="0" collapsed="false">
      <c r="B420" s="20" t="s">
        <v>276</v>
      </c>
      <c r="C420" s="13" t="s">
        <v>183</v>
      </c>
      <c r="D420" s="30" t="n">
        <f aca="false">Sensitivity!$B$24</f>
        <v>3</v>
      </c>
      <c r="E420" s="13" t="s">
        <v>270</v>
      </c>
      <c r="F420" s="27" t="n">
        <f aca="false">Sensitivity!F$23</f>
        <v>0.085</v>
      </c>
    </row>
    <row r="421" customFormat="false" ht="15" hidden="false" customHeight="false" outlineLevel="0" collapsed="false">
      <c r="B421" s="13" t="s">
        <v>271</v>
      </c>
      <c r="C421" s="28" t="n">
        <f aca="false">INDEX(Model!$C$10:$N$10,1,$D$420+2)*sf/$F$420</f>
        <v>6322071.40337235</v>
      </c>
      <c r="D421" s="28" t="n">
        <f aca="false">C421*(1-sale_cost)</f>
        <v>6132409.26127118</v>
      </c>
      <c r="E421" s="28" t="n">
        <f aca="false">D421-(Model!$C$22-SUMPRODUCT((Model!$D$4:$M$4&lt;=$D$420)*Model!$D$36:$M$36))</f>
        <v>2125701.56896348</v>
      </c>
      <c r="F421" s="28" t="n">
        <f aca="false">INDEX(Model!$C$30:$M$30,1,$D$420+1)+INDEX(Model!$C$31:$M$31,1,$D$420+1)</f>
        <v>5996205.87455343</v>
      </c>
      <c r="G421" s="28" t="n">
        <f aca="false">D421-F421-tax*E421</f>
        <v>-310193.94276458</v>
      </c>
      <c r="H421" s="28" t="n">
        <f aca="false">INDEX(Model!$C$10:$N$10,1,$D$420+2)*sf</f>
        <v>537376.06928665</v>
      </c>
    </row>
    <row r="422" customFormat="false" ht="15" hidden="false" customHeight="false" outlineLevel="0" collapsed="false">
      <c r="B422" s="13" t="s">
        <v>272</v>
      </c>
      <c r="C422" s="28" t="n">
        <f aca="false">Model!$C$37+Model!$C$38</f>
        <v>-904955.548086667</v>
      </c>
      <c r="D422" s="28" t="n">
        <f aca="false">IF(D$3&lt;=$D$420,Model!D37+Model!D38,-($H$421*(1+slb_esc)^(D$3-$D$420-1)+Model!D35)*(1-tax))+IF(D$3=$D$420,$G$421,0)</f>
        <v>-113297.120635235</v>
      </c>
      <c r="E422" s="28" t="n">
        <f aca="false">IF(E$3&lt;=$D$420,Model!E37+Model!E38,-($H$421*(1+slb_esc)^(E$3-$D$420-1)+Model!E35)*(1-tax))+IF(E$3=$D$420,$G$421,0)</f>
        <v>-697159.135167405</v>
      </c>
      <c r="F422" s="28" t="n">
        <f aca="false">IF(F$3&lt;=$D$420,Model!F37+Model!F38,-($H$421*(1+slb_esc)^(F$3-$D$420-1)+Model!F35)*(1-tax))+IF(F$3=$D$420,$G$421,0)</f>
        <v>-1017124.89490447</v>
      </c>
      <c r="G422" s="28" t="n">
        <f aca="false">IF(G$3&lt;=$D$420,Model!G37+Model!G38,-($H$421*(1+slb_esc)^(G$3-$D$420-1)+Model!G35)*(1-tax))+IF(G$3=$D$420,$G$421,0)</f>
        <v>-714624.61875</v>
      </c>
      <c r="H422" s="28" t="n">
        <f aca="false">IF(H$3&lt;=$D$420,Model!H37+Model!H38,-($H$421*(1+slb_esc)^(H$3-$D$420-1)+Model!H35)*(1-tax))+IF(H$3=$D$420,$G$421,0)</f>
        <v>-731818.086365135</v>
      </c>
      <c r="I422" s="28" t="n">
        <f aca="false">IF(I$3&lt;=$D$420,Model!I37+Model!I38,-($H$421*(1+slb_esc)^(I$3-$D$420-1)+Model!I35)*(1-tax))+IF(I$3=$D$420,$G$421,0)</f>
        <v>-749442.452589777</v>
      </c>
      <c r="J422" s="28" t="n">
        <f aca="false">IF(J$3&lt;=$D$420,Model!J37+Model!J38,-($H$421*(1+slb_esc)^(J$3-$D$420-1)+Model!J35)*(1-tax))+IF(J$3=$D$420,$G$421,0)</f>
        <v>-767508.946273833</v>
      </c>
      <c r="K422" s="28" t="n">
        <f aca="false">IF(K$3&lt;=$D$420,Model!K37+Model!K38,-($H$421*(1+slb_esc)^(K$3-$D$420-1)+Model!K35)*(1-tax))+IF(K$3=$D$420,$G$421,0)</f>
        <v>-786029.099170537</v>
      </c>
      <c r="L422" s="28" t="n">
        <f aca="false">IF(L$3&lt;=$D$420,Model!L37+Model!L38,-($H$421*(1+slb_esc)^(L$3-$D$420-1)+Model!L35)*(1-tax))+IF(L$3=$D$420,$G$421,0)</f>
        <v>-805014.754344312</v>
      </c>
      <c r="M422" s="28" t="n">
        <f aca="false">IF(M$3&lt;=$D$420,Model!M37+Model!M38,-($H$421*(1+slb_esc)^(M$3-$D$420-1)+Model!M35)*(1-tax))+IF(M$3=$D$420,$G$421,0)</f>
        <v>-824478.074817273</v>
      </c>
    </row>
    <row r="423" customFormat="false" ht="15" hidden="false" customHeight="false" outlineLevel="0" collapsed="false">
      <c r="B423" s="20" t="s">
        <v>273</v>
      </c>
      <c r="C423" s="28" t="n">
        <f aca="false">C422+NPV(disc,D422:M422)</f>
        <v>-5567699.64428473</v>
      </c>
      <c r="D423" s="29" t="n">
        <f aca="false">C423-Model!$D$68</f>
        <v>-52432.7786900196</v>
      </c>
    </row>
    <row r="425" customFormat="false" ht="15" hidden="false" customHeight="false" outlineLevel="0" collapsed="false">
      <c r="B425" s="20" t="s">
        <v>277</v>
      </c>
      <c r="C425" s="13" t="s">
        <v>183</v>
      </c>
      <c r="D425" s="30" t="n">
        <f aca="false">Sensitivity!$B$24</f>
        <v>3</v>
      </c>
      <c r="E425" s="13" t="s">
        <v>270</v>
      </c>
      <c r="F425" s="27" t="n">
        <f aca="false">Sensitivity!G$23</f>
        <v>0.09</v>
      </c>
    </row>
    <row r="426" customFormat="false" ht="15" hidden="false" customHeight="false" outlineLevel="0" collapsed="false">
      <c r="B426" s="13" t="s">
        <v>271</v>
      </c>
      <c r="C426" s="28" t="n">
        <f aca="false">INDEX(Model!$C$10:$N$10,1,$D$425+2)*sf/$F$425</f>
        <v>5970845.21429611</v>
      </c>
      <c r="D426" s="28" t="n">
        <f aca="false">C426*(1-sale_cost)</f>
        <v>5791719.85786722</v>
      </c>
      <c r="E426" s="28" t="n">
        <f aca="false">D426-(Model!$C$22-SUMPRODUCT((Model!$D$4:$M$4&lt;=$D$425)*Model!$D$36:$M$36))</f>
        <v>1785012.16555953</v>
      </c>
      <c r="F426" s="28" t="n">
        <f aca="false">INDEX(Model!$C$30:$M$30,1,$D$425+1)+INDEX(Model!$C$31:$M$31,1,$D$425+1)</f>
        <v>5996205.87455343</v>
      </c>
      <c r="G426" s="28" t="n">
        <f aca="false">D426-F426-tax*E426</f>
        <v>-579338.571453704</v>
      </c>
      <c r="H426" s="28" t="n">
        <f aca="false">INDEX(Model!$C$10:$N$10,1,$D$425+2)*sf</f>
        <v>537376.06928665</v>
      </c>
    </row>
    <row r="427" customFormat="false" ht="15" hidden="false" customHeight="false" outlineLevel="0" collapsed="false">
      <c r="B427" s="13" t="s">
        <v>272</v>
      </c>
      <c r="C427" s="28" t="n">
        <f aca="false">Model!$C$37+Model!$C$38</f>
        <v>-904955.548086667</v>
      </c>
      <c r="D427" s="28" t="n">
        <f aca="false">IF(D$3&lt;=$D$425,Model!D37+Model!D38,-($H$426*(1+slb_esc)^(D$3-$D$425-1)+Model!D35)*(1-tax))+IF(D$3=$D$425,$G$426,0)</f>
        <v>-113297.120635235</v>
      </c>
      <c r="E427" s="28" t="n">
        <f aca="false">IF(E$3&lt;=$D$425,Model!E37+Model!E38,-($H$426*(1+slb_esc)^(E$3-$D$425-1)+Model!E35)*(1-tax))+IF(E$3=$D$425,$G$426,0)</f>
        <v>-697159.135167405</v>
      </c>
      <c r="F427" s="28" t="n">
        <f aca="false">IF(F$3&lt;=$D$425,Model!F37+Model!F38,-($H$426*(1+slb_esc)^(F$3-$D$425-1)+Model!F35)*(1-tax))+IF(F$3=$D$425,$G$426,0)</f>
        <v>-1286269.52359359</v>
      </c>
      <c r="G427" s="28" t="n">
        <f aca="false">IF(G$3&lt;=$D$425,Model!G37+Model!G38,-($H$426*(1+slb_esc)^(G$3-$D$425-1)+Model!G35)*(1-tax))+IF(G$3=$D$425,$G$426,0)</f>
        <v>-714624.61875</v>
      </c>
      <c r="H427" s="28" t="n">
        <f aca="false">IF(H$3&lt;=$D$425,Model!H37+Model!H38,-($H$426*(1+slb_esc)^(H$3-$D$425-1)+Model!H35)*(1-tax))+IF(H$3=$D$425,$G$426,0)</f>
        <v>-731818.086365135</v>
      </c>
      <c r="I427" s="28" t="n">
        <f aca="false">IF(I$3&lt;=$D$425,Model!I37+Model!I38,-($H$426*(1+slb_esc)^(I$3-$D$425-1)+Model!I35)*(1-tax))+IF(I$3=$D$425,$G$426,0)</f>
        <v>-749442.452589777</v>
      </c>
      <c r="J427" s="28" t="n">
        <f aca="false">IF(J$3&lt;=$D$425,Model!J37+Model!J38,-($H$426*(1+slb_esc)^(J$3-$D$425-1)+Model!J35)*(1-tax))+IF(J$3=$D$425,$G$426,0)</f>
        <v>-767508.946273833</v>
      </c>
      <c r="K427" s="28" t="n">
        <f aca="false">IF(K$3&lt;=$D$425,Model!K37+Model!K38,-($H$426*(1+slb_esc)^(K$3-$D$425-1)+Model!K35)*(1-tax))+IF(K$3=$D$425,$G$426,0)</f>
        <v>-786029.099170537</v>
      </c>
      <c r="L427" s="28" t="n">
        <f aca="false">IF(L$3&lt;=$D$425,Model!L37+Model!L38,-($H$426*(1+slb_esc)^(L$3-$D$425-1)+Model!L35)*(1-tax))+IF(L$3=$D$425,$G$426,0)</f>
        <v>-805014.754344312</v>
      </c>
      <c r="M427" s="28" t="n">
        <f aca="false">IF(M$3&lt;=$D$425,Model!M37+Model!M38,-($H$426*(1+slb_esc)^(M$3-$D$425-1)+Model!M35)*(1-tax))+IF(M$3=$D$425,$G$426,0)</f>
        <v>-824478.074817273</v>
      </c>
    </row>
    <row r="428" customFormat="false" ht="15" hidden="false" customHeight="false" outlineLevel="0" collapsed="false">
      <c r="B428" s="20" t="s">
        <v>273</v>
      </c>
      <c r="C428" s="28" t="n">
        <f aca="false">C427+NPV(disc,D427:M427)</f>
        <v>-5781355.32803555</v>
      </c>
      <c r="D428" s="29" t="n">
        <f aca="false">C428-Model!$D$68</f>
        <v>-266088.462440848</v>
      </c>
    </row>
    <row r="430" customFormat="false" ht="15" hidden="false" customHeight="false" outlineLevel="0" collapsed="false">
      <c r="B430" s="20" t="s">
        <v>278</v>
      </c>
      <c r="C430" s="13" t="s">
        <v>183</v>
      </c>
      <c r="D430" s="30" t="n">
        <f aca="false">Sensitivity!$B$25</f>
        <v>5</v>
      </c>
      <c r="E430" s="13" t="s">
        <v>270</v>
      </c>
      <c r="F430" s="27" t="n">
        <f aca="false">Sensitivity!C$23</f>
        <v>0.07</v>
      </c>
    </row>
    <row r="431" customFormat="false" ht="15" hidden="false" customHeight="false" outlineLevel="0" collapsed="false">
      <c r="B431" s="13" t="s">
        <v>271</v>
      </c>
      <c r="C431" s="28" t="n">
        <f aca="false">INDEX(Model!$C$10:$N$10,1,$D$430+2)*sf/$F$430</f>
        <v>8011537.55602616</v>
      </c>
      <c r="D431" s="28" t="n">
        <f aca="false">C431*(1-sale_cost)</f>
        <v>7771191.42934538</v>
      </c>
      <c r="E431" s="28" t="n">
        <f aca="false">D431-(Model!$C$22-SUMPRODUCT((Model!$D$4:$M$4&lt;=$D$430)*Model!$D$36:$M$36))</f>
        <v>3944011.94216589</v>
      </c>
      <c r="F431" s="28" t="n">
        <f aca="false">INDEX(Model!$C$30:$M$30,1,$D$430+1)+INDEX(Model!$C$31:$M$31,1,$D$430+1)</f>
        <v>5747645.21421918</v>
      </c>
      <c r="G431" s="28" t="n">
        <f aca="false">D431-F431-tax*E431</f>
        <v>1195303.70727136</v>
      </c>
      <c r="H431" s="28" t="n">
        <f aca="false">INDEX(Model!$C$10:$N$10,1,$D$430+2)*sf</f>
        <v>560807.628921832</v>
      </c>
    </row>
    <row r="432" customFormat="false" ht="15" hidden="false" customHeight="false" outlineLevel="0" collapsed="false">
      <c r="B432" s="13" t="s">
        <v>272</v>
      </c>
      <c r="C432" s="28" t="n">
        <f aca="false">Model!$C$37+Model!$C$38</f>
        <v>-904955.548086667</v>
      </c>
      <c r="D432" s="28" t="n">
        <f aca="false">IF(D$3&lt;=$D$430,Model!D37+Model!D38,-($H$431*(1+slb_esc)^(D$3-$D$430-1)+Model!D35)*(1-tax))+IF(D$3=$D$430,$G$431,0)</f>
        <v>-113297.120635235</v>
      </c>
      <c r="E432" s="28" t="n">
        <f aca="false">IF(E$3&lt;=$D$430,Model!E37+Model!E38,-($H$431*(1+slb_esc)^(E$3-$D$430-1)+Model!E35)*(1-tax))+IF(E$3=$D$430,$G$431,0)</f>
        <v>-697159.135167405</v>
      </c>
      <c r="F432" s="28" t="n">
        <f aca="false">IF(F$3&lt;=$D$430,Model!F37+Model!F38,-($H$431*(1+slb_esc)^(F$3-$D$430-1)+Model!F35)*(1-tax))+IF(F$3=$D$430,$G$431,0)</f>
        <v>-706930.952139887</v>
      </c>
      <c r="G432" s="28" t="n">
        <f aca="false">IF(G$3&lt;=$D$430,Model!G37+Model!G38,-($H$431*(1+slb_esc)^(G$3-$D$430-1)+Model!G35)*(1-tax))+IF(G$3=$D$430,$G$431,0)</f>
        <v>-717061.274931906</v>
      </c>
      <c r="H432" s="28" t="n">
        <f aca="false">IF(H$3&lt;=$D$430,Model!H37+Model!H38,-($H$431*(1+slb_esc)^(H$3-$D$430-1)+Model!H35)*(1-tax))+IF(H$3=$D$430,$G$431,0)</f>
        <v>467738.142354112</v>
      </c>
      <c r="I432" s="28" t="n">
        <f aca="false">IF(I$3&lt;=$D$430,Model!I37+Model!I38,-($H$431*(1+slb_esc)^(I$3-$D$430-1)+Model!I35)*(1-tax))+IF(I$3=$D$430,$G$431,0)</f>
        <v>-750802.490074218</v>
      </c>
      <c r="J432" s="28" t="n">
        <f aca="false">IF(J$3&lt;=$D$430,Model!J37+Model!J38,-($H$431*(1+slb_esc)^(J$3-$D$430-1)+Model!J35)*(1-tax))+IF(J$3=$D$430,$G$431,0)</f>
        <v>-768896.184507962</v>
      </c>
      <c r="K432" s="28" t="n">
        <f aca="false">IF(K$3&lt;=$D$430,Model!K37+Model!K38,-($H$431*(1+slb_esc)^(K$3-$D$430-1)+Model!K35)*(1-tax))+IF(K$3=$D$430,$G$431,0)</f>
        <v>-787444.082169349</v>
      </c>
      <c r="L432" s="28" t="n">
        <f aca="false">IF(L$3&lt;=$D$430,Model!L37+Model!L38,-($H$431*(1+slb_esc)^(L$3-$D$430-1)+Model!L35)*(1-tax))+IF(L$3=$D$430,$G$431,0)</f>
        <v>-806458.037003101</v>
      </c>
      <c r="M432" s="28" t="n">
        <f aca="false">IF(M$3&lt;=$D$430,Model!M37+Model!M38,-($H$431*(1+slb_esc)^(M$3-$D$430-1)+Model!M35)*(1-tax))+IF(M$3=$D$430,$G$431,0)</f>
        <v>-825950.223129238</v>
      </c>
    </row>
    <row r="433" customFormat="false" ht="15" hidden="false" customHeight="false" outlineLevel="0" collapsed="false">
      <c r="B433" s="20" t="s">
        <v>273</v>
      </c>
      <c r="C433" s="28" t="n">
        <f aca="false">C432+NPV(disc,D432:M432)</f>
        <v>-4510685.74937721</v>
      </c>
      <c r="D433" s="29" t="n">
        <f aca="false">C433-Model!$D$68</f>
        <v>1004581.1162175</v>
      </c>
    </row>
    <row r="435" customFormat="false" ht="15" hidden="false" customHeight="false" outlineLevel="0" collapsed="false">
      <c r="B435" s="20" t="s">
        <v>279</v>
      </c>
      <c r="C435" s="13" t="s">
        <v>183</v>
      </c>
      <c r="D435" s="30" t="n">
        <f aca="false">Sensitivity!$B$25</f>
        <v>5</v>
      </c>
      <c r="E435" s="13" t="s">
        <v>270</v>
      </c>
      <c r="F435" s="27" t="n">
        <f aca="false">Sensitivity!D$23</f>
        <v>0.075</v>
      </c>
    </row>
    <row r="436" customFormat="false" ht="15" hidden="false" customHeight="false" outlineLevel="0" collapsed="false">
      <c r="B436" s="13" t="s">
        <v>271</v>
      </c>
      <c r="C436" s="28" t="n">
        <f aca="false">INDEX(Model!$C$10:$N$10,1,$D$435+2)*sf/$F$435</f>
        <v>7477435.05229109</v>
      </c>
      <c r="D436" s="28" t="n">
        <f aca="false">C436*(1-sale_cost)</f>
        <v>7253112.00072235</v>
      </c>
      <c r="E436" s="28" t="n">
        <f aca="false">D436-(Model!$C$22-SUMPRODUCT((Model!$D$4:$M$4&lt;=$D$435)*Model!$D$36:$M$36))</f>
        <v>3425932.51354287</v>
      </c>
      <c r="F436" s="28" t="n">
        <f aca="false">INDEX(Model!$C$30:$M$30,1,$D$435+1)+INDEX(Model!$C$31:$M$31,1,$D$435+1)</f>
        <v>5747645.21421918</v>
      </c>
      <c r="G436" s="28" t="n">
        <f aca="false">D436-F436-tax*E436</f>
        <v>786020.958659171</v>
      </c>
      <c r="H436" s="28" t="n">
        <f aca="false">INDEX(Model!$C$10:$N$10,1,$D$435+2)*sf</f>
        <v>560807.628921832</v>
      </c>
    </row>
    <row r="437" customFormat="false" ht="15" hidden="false" customHeight="false" outlineLevel="0" collapsed="false">
      <c r="B437" s="13" t="s">
        <v>272</v>
      </c>
      <c r="C437" s="28" t="n">
        <f aca="false">Model!$C$37+Model!$C$38</f>
        <v>-904955.548086667</v>
      </c>
      <c r="D437" s="28" t="n">
        <f aca="false">IF(D$3&lt;=$D$435,Model!D37+Model!D38,-($H$436*(1+slb_esc)^(D$3-$D$435-1)+Model!D35)*(1-tax))+IF(D$3=$D$435,$G$436,0)</f>
        <v>-113297.120635235</v>
      </c>
      <c r="E437" s="28" t="n">
        <f aca="false">IF(E$3&lt;=$D$435,Model!E37+Model!E38,-($H$436*(1+slb_esc)^(E$3-$D$435-1)+Model!E35)*(1-tax))+IF(E$3=$D$435,$G$436,0)</f>
        <v>-697159.135167405</v>
      </c>
      <c r="F437" s="28" t="n">
        <f aca="false">IF(F$3&lt;=$D$435,Model!F37+Model!F38,-($H$436*(1+slb_esc)^(F$3-$D$435-1)+Model!F35)*(1-tax))+IF(F$3=$D$435,$G$436,0)</f>
        <v>-706930.952139887</v>
      </c>
      <c r="G437" s="28" t="n">
        <f aca="false">IF(G$3&lt;=$D$435,Model!G37+Model!G38,-($H$436*(1+slb_esc)^(G$3-$D$435-1)+Model!G35)*(1-tax))+IF(G$3=$D$435,$G$436,0)</f>
        <v>-717061.274931906</v>
      </c>
      <c r="H437" s="28" t="n">
        <f aca="false">IF(H$3&lt;=$D$435,Model!H37+Model!H38,-($H$436*(1+slb_esc)^(H$3-$D$435-1)+Model!H35)*(1-tax))+IF(H$3=$D$435,$G$436,0)</f>
        <v>58455.3937419226</v>
      </c>
      <c r="I437" s="28" t="n">
        <f aca="false">IF(I$3&lt;=$D$435,Model!I37+Model!I38,-($H$436*(1+slb_esc)^(I$3-$D$435-1)+Model!I35)*(1-tax))+IF(I$3=$D$435,$G$436,0)</f>
        <v>-750802.490074218</v>
      </c>
      <c r="J437" s="28" t="n">
        <f aca="false">IF(J$3&lt;=$D$435,Model!J37+Model!J38,-($H$436*(1+slb_esc)^(J$3-$D$435-1)+Model!J35)*(1-tax))+IF(J$3=$D$435,$G$436,0)</f>
        <v>-768896.184507962</v>
      </c>
      <c r="K437" s="28" t="n">
        <f aca="false">IF(K$3&lt;=$D$435,Model!K37+Model!K38,-($H$436*(1+slb_esc)^(K$3-$D$435-1)+Model!K35)*(1-tax))+IF(K$3=$D$435,$G$436,0)</f>
        <v>-787444.082169349</v>
      </c>
      <c r="L437" s="28" t="n">
        <f aca="false">IF(L$3&lt;=$D$435,Model!L37+Model!L38,-($H$436*(1+slb_esc)^(L$3-$D$435-1)+Model!L35)*(1-tax))+IF(L$3=$D$435,$G$436,0)</f>
        <v>-806458.037003101</v>
      </c>
      <c r="M437" s="28" t="n">
        <f aca="false">IF(M$3&lt;=$D$435,Model!M37+Model!M38,-($H$436*(1+slb_esc)^(M$3-$D$435-1)+Model!M35)*(1-tax))+IF(M$3=$D$435,$G$436,0)</f>
        <v>-825950.223129238</v>
      </c>
    </row>
    <row r="438" customFormat="false" ht="15" hidden="false" customHeight="false" outlineLevel="0" collapsed="false">
      <c r="B438" s="20" t="s">
        <v>273</v>
      </c>
      <c r="C438" s="28" t="n">
        <f aca="false">C437+NPV(disc,D437:M437)</f>
        <v>-4789236.71091845</v>
      </c>
      <c r="D438" s="29" t="n">
        <f aca="false">C438-Model!$D$68</f>
        <v>726030.154676253</v>
      </c>
    </row>
    <row r="440" customFormat="false" ht="15" hidden="false" customHeight="false" outlineLevel="0" collapsed="false">
      <c r="B440" s="20" t="s">
        <v>280</v>
      </c>
      <c r="C440" s="13" t="s">
        <v>183</v>
      </c>
      <c r="D440" s="30" t="n">
        <f aca="false">Sensitivity!$B$25</f>
        <v>5</v>
      </c>
      <c r="E440" s="13" t="s">
        <v>270</v>
      </c>
      <c r="F440" s="27" t="n">
        <f aca="false">Sensitivity!E$23</f>
        <v>0.08</v>
      </c>
    </row>
    <row r="441" customFormat="false" ht="15" hidden="false" customHeight="false" outlineLevel="0" collapsed="false">
      <c r="B441" s="13" t="s">
        <v>271</v>
      </c>
      <c r="C441" s="28" t="n">
        <f aca="false">INDEX(Model!$C$10:$N$10,1,$D$440+2)*sf/$F$440</f>
        <v>7010095.36152289</v>
      </c>
      <c r="D441" s="28" t="n">
        <f aca="false">C441*(1-sale_cost)</f>
        <v>6799792.50067721</v>
      </c>
      <c r="E441" s="28" t="n">
        <f aca="false">D441-(Model!$C$22-SUMPRODUCT((Model!$D$4:$M$4&lt;=$D$440)*Model!$D$36:$M$36))</f>
        <v>2972613.01349772</v>
      </c>
      <c r="F441" s="28" t="n">
        <f aca="false">INDEX(Model!$C$30:$M$30,1,$D$440+1)+INDEX(Model!$C$31:$M$31,1,$D$440+1)</f>
        <v>5747645.21421918</v>
      </c>
      <c r="G441" s="28" t="n">
        <f aca="false">D441-F441-tax*E441</f>
        <v>427898.553623505</v>
      </c>
      <c r="H441" s="28" t="n">
        <f aca="false">INDEX(Model!$C$10:$N$10,1,$D$440+2)*sf</f>
        <v>560807.628921832</v>
      </c>
    </row>
    <row r="442" customFormat="false" ht="15" hidden="false" customHeight="false" outlineLevel="0" collapsed="false">
      <c r="B442" s="13" t="s">
        <v>272</v>
      </c>
      <c r="C442" s="28" t="n">
        <f aca="false">Model!$C$37+Model!$C$38</f>
        <v>-904955.548086667</v>
      </c>
      <c r="D442" s="28" t="n">
        <f aca="false">IF(D$3&lt;=$D$440,Model!D37+Model!D38,-($H$441*(1+slb_esc)^(D$3-$D$440-1)+Model!D35)*(1-tax))+IF(D$3=$D$440,$G$441,0)</f>
        <v>-113297.120635235</v>
      </c>
      <c r="E442" s="28" t="n">
        <f aca="false">IF(E$3&lt;=$D$440,Model!E37+Model!E38,-($H$441*(1+slb_esc)^(E$3-$D$440-1)+Model!E35)*(1-tax))+IF(E$3=$D$440,$G$441,0)</f>
        <v>-697159.135167405</v>
      </c>
      <c r="F442" s="28" t="n">
        <f aca="false">IF(F$3&lt;=$D$440,Model!F37+Model!F38,-($H$441*(1+slb_esc)^(F$3-$D$440-1)+Model!F35)*(1-tax))+IF(F$3=$D$440,$G$441,0)</f>
        <v>-706930.952139887</v>
      </c>
      <c r="G442" s="28" t="n">
        <f aca="false">IF(G$3&lt;=$D$440,Model!G37+Model!G38,-($H$441*(1+slb_esc)^(G$3-$D$440-1)+Model!G35)*(1-tax))+IF(G$3=$D$440,$G$441,0)</f>
        <v>-717061.274931906</v>
      </c>
      <c r="H442" s="28" t="n">
        <f aca="false">IF(H$3&lt;=$D$440,Model!H37+Model!H38,-($H$441*(1+slb_esc)^(H$3-$D$440-1)+Model!H35)*(1-tax))+IF(H$3=$D$440,$G$441,0)</f>
        <v>-299667.011293744</v>
      </c>
      <c r="I442" s="28" t="n">
        <f aca="false">IF(I$3&lt;=$D$440,Model!I37+Model!I38,-($H$441*(1+slb_esc)^(I$3-$D$440-1)+Model!I35)*(1-tax))+IF(I$3=$D$440,$G$441,0)</f>
        <v>-750802.490074218</v>
      </c>
      <c r="J442" s="28" t="n">
        <f aca="false">IF(J$3&lt;=$D$440,Model!J37+Model!J38,-($H$441*(1+slb_esc)^(J$3-$D$440-1)+Model!J35)*(1-tax))+IF(J$3=$D$440,$G$441,0)</f>
        <v>-768896.184507962</v>
      </c>
      <c r="K442" s="28" t="n">
        <f aca="false">IF(K$3&lt;=$D$440,Model!K37+Model!K38,-($H$441*(1+slb_esc)^(K$3-$D$440-1)+Model!K35)*(1-tax))+IF(K$3=$D$440,$G$441,0)</f>
        <v>-787444.082169349</v>
      </c>
      <c r="L442" s="28" t="n">
        <f aca="false">IF(L$3&lt;=$D$440,Model!L37+Model!L38,-($H$441*(1+slb_esc)^(L$3-$D$440-1)+Model!L35)*(1-tax))+IF(L$3=$D$440,$G$441,0)</f>
        <v>-806458.037003101</v>
      </c>
      <c r="M442" s="28" t="n">
        <f aca="false">IF(M$3&lt;=$D$440,Model!M37+Model!M38,-($H$441*(1+slb_esc)^(M$3-$D$440-1)+Model!M35)*(1-tax))+IF(M$3=$D$440,$G$441,0)</f>
        <v>-825950.223129238</v>
      </c>
    </row>
    <row r="443" customFormat="false" ht="15" hidden="false" customHeight="false" outlineLevel="0" collapsed="false">
      <c r="B443" s="20" t="s">
        <v>273</v>
      </c>
      <c r="C443" s="28" t="n">
        <f aca="false">C442+NPV(disc,D442:M442)</f>
        <v>-5032968.80226704</v>
      </c>
      <c r="D443" s="29" t="n">
        <f aca="false">C443-Model!$D$68</f>
        <v>482298.063327663</v>
      </c>
    </row>
    <row r="445" customFormat="false" ht="15" hidden="false" customHeight="false" outlineLevel="0" collapsed="false">
      <c r="B445" s="20" t="s">
        <v>281</v>
      </c>
      <c r="C445" s="13" t="s">
        <v>183</v>
      </c>
      <c r="D445" s="30" t="n">
        <f aca="false">Sensitivity!$B$25</f>
        <v>5</v>
      </c>
      <c r="E445" s="13" t="s">
        <v>270</v>
      </c>
      <c r="F445" s="27" t="n">
        <f aca="false">Sensitivity!F$23</f>
        <v>0.085</v>
      </c>
    </row>
    <row r="446" customFormat="false" ht="15" hidden="false" customHeight="false" outlineLevel="0" collapsed="false">
      <c r="B446" s="13" t="s">
        <v>271</v>
      </c>
      <c r="C446" s="28" t="n">
        <f aca="false">INDEX(Model!$C$10:$N$10,1,$D$445+2)*sf/$F$445</f>
        <v>6597736.81084508</v>
      </c>
      <c r="D446" s="28" t="n">
        <f aca="false">C446*(1-sale_cost)</f>
        <v>6399804.70651972</v>
      </c>
      <c r="E446" s="28" t="n">
        <f aca="false">D446-(Model!$C$22-SUMPRODUCT((Model!$D$4:$M$4&lt;=$D$445)*Model!$D$36:$M$36))</f>
        <v>2572625.21934024</v>
      </c>
      <c r="F446" s="28" t="n">
        <f aca="false">INDEX(Model!$C$30:$M$30,1,$D$445+1)+INDEX(Model!$C$31:$M$31,1,$D$445+1)</f>
        <v>5747645.21421918</v>
      </c>
      <c r="G446" s="28" t="n">
        <f aca="false">D446-F446-tax*E446</f>
        <v>111908.196239093</v>
      </c>
      <c r="H446" s="28" t="n">
        <f aca="false">INDEX(Model!$C$10:$N$10,1,$D$445+2)*sf</f>
        <v>560807.628921832</v>
      </c>
    </row>
    <row r="447" customFormat="false" ht="15" hidden="false" customHeight="false" outlineLevel="0" collapsed="false">
      <c r="B447" s="13" t="s">
        <v>272</v>
      </c>
      <c r="C447" s="28" t="n">
        <f aca="false">Model!$C$37+Model!$C$38</f>
        <v>-904955.548086667</v>
      </c>
      <c r="D447" s="28" t="n">
        <f aca="false">IF(D$3&lt;=$D$445,Model!D37+Model!D38,-($H$446*(1+slb_esc)^(D$3-$D$445-1)+Model!D35)*(1-tax))+IF(D$3=$D$445,$G$446,0)</f>
        <v>-113297.120635235</v>
      </c>
      <c r="E447" s="28" t="n">
        <f aca="false">IF(E$3&lt;=$D$445,Model!E37+Model!E38,-($H$446*(1+slb_esc)^(E$3-$D$445-1)+Model!E35)*(1-tax))+IF(E$3=$D$445,$G$446,0)</f>
        <v>-697159.135167405</v>
      </c>
      <c r="F447" s="28" t="n">
        <f aca="false">IF(F$3&lt;=$D$445,Model!F37+Model!F38,-($H$446*(1+slb_esc)^(F$3-$D$445-1)+Model!F35)*(1-tax))+IF(F$3=$D$445,$G$446,0)</f>
        <v>-706930.952139887</v>
      </c>
      <c r="G447" s="28" t="n">
        <f aca="false">IF(G$3&lt;=$D$445,Model!G37+Model!G38,-($H$446*(1+slb_esc)^(G$3-$D$445-1)+Model!G35)*(1-tax))+IF(G$3=$D$445,$G$446,0)</f>
        <v>-717061.274931906</v>
      </c>
      <c r="H447" s="28" t="n">
        <f aca="false">IF(H$3&lt;=$D$445,Model!H37+Model!H38,-($H$446*(1+slb_esc)^(H$3-$D$445-1)+Model!H35)*(1-tax))+IF(H$3=$D$445,$G$446,0)</f>
        <v>-615657.368678156</v>
      </c>
      <c r="I447" s="28" t="n">
        <f aca="false">IF(I$3&lt;=$D$445,Model!I37+Model!I38,-($H$446*(1+slb_esc)^(I$3-$D$445-1)+Model!I35)*(1-tax))+IF(I$3=$D$445,$G$446,0)</f>
        <v>-750802.490074218</v>
      </c>
      <c r="J447" s="28" t="n">
        <f aca="false">IF(J$3&lt;=$D$445,Model!J37+Model!J38,-($H$446*(1+slb_esc)^(J$3-$D$445-1)+Model!J35)*(1-tax))+IF(J$3=$D$445,$G$446,0)</f>
        <v>-768896.184507962</v>
      </c>
      <c r="K447" s="28" t="n">
        <f aca="false">IF(K$3&lt;=$D$445,Model!K37+Model!K38,-($H$446*(1+slb_esc)^(K$3-$D$445-1)+Model!K35)*(1-tax))+IF(K$3=$D$445,$G$446,0)</f>
        <v>-787444.082169349</v>
      </c>
      <c r="L447" s="28" t="n">
        <f aca="false">IF(L$3&lt;=$D$445,Model!L37+Model!L38,-($H$446*(1+slb_esc)^(L$3-$D$445-1)+Model!L35)*(1-tax))+IF(L$3=$D$445,$G$446,0)</f>
        <v>-806458.037003101</v>
      </c>
      <c r="M447" s="28" t="n">
        <f aca="false">IF(M$3&lt;=$D$445,Model!M37+Model!M38,-($H$446*(1+slb_esc)^(M$3-$D$445-1)+Model!M35)*(1-tax))+IF(M$3=$D$445,$G$446,0)</f>
        <v>-825950.223129238</v>
      </c>
    </row>
    <row r="448" customFormat="false" ht="15" hidden="false" customHeight="false" outlineLevel="0" collapsed="false">
      <c r="B448" s="20" t="s">
        <v>273</v>
      </c>
      <c r="C448" s="28" t="n">
        <f aca="false">C447+NPV(disc,D447:M447)</f>
        <v>-5248026.52992756</v>
      </c>
      <c r="D448" s="29" t="n">
        <f aca="false">C448-Model!$D$68</f>
        <v>267240.335667142</v>
      </c>
    </row>
    <row r="450" customFormat="false" ht="15" hidden="false" customHeight="false" outlineLevel="0" collapsed="false">
      <c r="B450" s="20" t="s">
        <v>282</v>
      </c>
      <c r="C450" s="13" t="s">
        <v>183</v>
      </c>
      <c r="D450" s="30" t="n">
        <f aca="false">Sensitivity!$B$25</f>
        <v>5</v>
      </c>
      <c r="E450" s="13" t="s">
        <v>270</v>
      </c>
      <c r="F450" s="27" t="n">
        <f aca="false">Sensitivity!G$23</f>
        <v>0.09</v>
      </c>
    </row>
    <row r="451" customFormat="false" ht="15" hidden="false" customHeight="false" outlineLevel="0" collapsed="false">
      <c r="B451" s="13" t="s">
        <v>271</v>
      </c>
      <c r="C451" s="28" t="n">
        <f aca="false">INDEX(Model!$C$10:$N$10,1,$D$450+2)*sf/$F$450</f>
        <v>6231195.87690924</v>
      </c>
      <c r="D451" s="28" t="n">
        <f aca="false">C451*(1-sale_cost)</f>
        <v>6044260.00060196</v>
      </c>
      <c r="E451" s="28" t="n">
        <f aca="false">D451-(Model!$C$22-SUMPRODUCT((Model!$D$4:$M$4&lt;=$D$450)*Model!$D$36:$M$36))</f>
        <v>2217080.51342248</v>
      </c>
      <c r="F451" s="28" t="n">
        <f aca="false">INDEX(Model!$C$30:$M$30,1,$D$450+1)+INDEX(Model!$C$31:$M$31,1,$D$450+1)</f>
        <v>5747645.21421918</v>
      </c>
      <c r="G451" s="28" t="n">
        <f aca="false">D451-F451-tax*E451</f>
        <v>-168972.121435938</v>
      </c>
      <c r="H451" s="28" t="n">
        <f aca="false">INDEX(Model!$C$10:$N$10,1,$D$450+2)*sf</f>
        <v>560807.628921832</v>
      </c>
    </row>
    <row r="452" customFormat="false" ht="15" hidden="false" customHeight="false" outlineLevel="0" collapsed="false">
      <c r="B452" s="13" t="s">
        <v>272</v>
      </c>
      <c r="C452" s="28" t="n">
        <f aca="false">Model!$C$37+Model!$C$38</f>
        <v>-904955.548086667</v>
      </c>
      <c r="D452" s="28" t="n">
        <f aca="false">IF(D$3&lt;=$D$450,Model!D37+Model!D38,-($H$451*(1+slb_esc)^(D$3-$D$450-1)+Model!D35)*(1-tax))+IF(D$3=$D$450,$G$451,0)</f>
        <v>-113297.120635235</v>
      </c>
      <c r="E452" s="28" t="n">
        <f aca="false">IF(E$3&lt;=$D$450,Model!E37+Model!E38,-($H$451*(1+slb_esc)^(E$3-$D$450-1)+Model!E35)*(1-tax))+IF(E$3=$D$450,$G$451,0)</f>
        <v>-697159.135167405</v>
      </c>
      <c r="F452" s="28" t="n">
        <f aca="false">IF(F$3&lt;=$D$450,Model!F37+Model!F38,-($H$451*(1+slb_esc)^(F$3-$D$450-1)+Model!F35)*(1-tax))+IF(F$3=$D$450,$G$451,0)</f>
        <v>-706930.952139887</v>
      </c>
      <c r="G452" s="28" t="n">
        <f aca="false">IF(G$3&lt;=$D$450,Model!G37+Model!G38,-($H$451*(1+slb_esc)^(G$3-$D$450-1)+Model!G35)*(1-tax))+IF(G$3=$D$450,$G$451,0)</f>
        <v>-717061.274931906</v>
      </c>
      <c r="H452" s="28" t="n">
        <f aca="false">IF(H$3&lt;=$D$450,Model!H37+Model!H38,-($H$451*(1+slb_esc)^(H$3-$D$450-1)+Model!H35)*(1-tax))+IF(H$3=$D$450,$G$451,0)</f>
        <v>-896537.686353187</v>
      </c>
      <c r="I452" s="28" t="n">
        <f aca="false">IF(I$3&lt;=$D$450,Model!I37+Model!I38,-($H$451*(1+slb_esc)^(I$3-$D$450-1)+Model!I35)*(1-tax))+IF(I$3=$D$450,$G$451,0)</f>
        <v>-750802.490074218</v>
      </c>
      <c r="J452" s="28" t="n">
        <f aca="false">IF(J$3&lt;=$D$450,Model!J37+Model!J38,-($H$451*(1+slb_esc)^(J$3-$D$450-1)+Model!J35)*(1-tax))+IF(J$3=$D$450,$G$451,0)</f>
        <v>-768896.184507962</v>
      </c>
      <c r="K452" s="28" t="n">
        <f aca="false">IF(K$3&lt;=$D$450,Model!K37+Model!K38,-($H$451*(1+slb_esc)^(K$3-$D$450-1)+Model!K35)*(1-tax))+IF(K$3=$D$450,$G$451,0)</f>
        <v>-787444.082169349</v>
      </c>
      <c r="L452" s="28" t="n">
        <f aca="false">IF(L$3&lt;=$D$450,Model!L37+Model!L38,-($H$451*(1+slb_esc)^(L$3-$D$450-1)+Model!L35)*(1-tax))+IF(L$3=$D$450,$G$451,0)</f>
        <v>-806458.037003101</v>
      </c>
      <c r="M452" s="28" t="n">
        <f aca="false">IF(M$3&lt;=$D$450,Model!M37+Model!M38,-($H$451*(1+slb_esc)^(M$3-$D$450-1)+Model!M35)*(1-tax))+IF(M$3=$D$450,$G$451,0)</f>
        <v>-825950.223129238</v>
      </c>
    </row>
    <row r="453" customFormat="false" ht="15" hidden="false" customHeight="false" outlineLevel="0" collapsed="false">
      <c r="B453" s="20" t="s">
        <v>273</v>
      </c>
      <c r="C453" s="28" t="n">
        <f aca="false">C452+NPV(disc,D452:M452)</f>
        <v>-5439188.95451469</v>
      </c>
      <c r="D453" s="29" t="n">
        <f aca="false">C453-Model!$D$68</f>
        <v>76077.9110800121</v>
      </c>
    </row>
    <row r="455" customFormat="false" ht="15" hidden="false" customHeight="false" outlineLevel="0" collapsed="false">
      <c r="B455" s="20" t="s">
        <v>283</v>
      </c>
      <c r="C455" s="13" t="s">
        <v>183</v>
      </c>
      <c r="D455" s="30" t="n">
        <f aca="false">Sensitivity!$B$26</f>
        <v>7</v>
      </c>
      <c r="E455" s="13" t="s">
        <v>270</v>
      </c>
      <c r="F455" s="27" t="n">
        <f aca="false">Sensitivity!C$23</f>
        <v>0.07</v>
      </c>
    </row>
    <row r="456" customFormat="false" ht="15" hidden="false" customHeight="false" outlineLevel="0" collapsed="false">
      <c r="B456" s="13" t="s">
        <v>271</v>
      </c>
      <c r="C456" s="28" t="n">
        <f aca="false">INDEX(Model!$C$10:$N$10,1,$D$455+2)*sf/$F$455</f>
        <v>8359937.56053874</v>
      </c>
      <c r="D456" s="28" t="n">
        <f aca="false">C456*(1-sale_cost)</f>
        <v>8109139.43372258</v>
      </c>
      <c r="E456" s="28" t="n">
        <f aca="false">D456-(Model!$C$22-SUMPRODUCT((Model!$D$4:$M$4&lt;=$D$455)*Model!$D$36:$M$36))</f>
        <v>4461488.1516713</v>
      </c>
      <c r="F456" s="28" t="n">
        <f aca="false">INDEX(Model!$C$30:$M$30,1,$D$455+1)+INDEX(Model!$C$31:$M$31,1,$D$455+1)</f>
        <v>5462268.7456127</v>
      </c>
      <c r="G456" s="28" t="n">
        <f aca="false">D456-F456-tax*E456</f>
        <v>1709958.1762589</v>
      </c>
      <c r="H456" s="28" t="n">
        <f aca="false">INDEX(Model!$C$10:$N$10,1,$D$455+2)*sf</f>
        <v>585195.629237712</v>
      </c>
    </row>
    <row r="457" customFormat="false" ht="15" hidden="false" customHeight="false" outlineLevel="0" collapsed="false">
      <c r="B457" s="13" t="s">
        <v>272</v>
      </c>
      <c r="C457" s="28" t="n">
        <f aca="false">Model!$C$37+Model!$C$38</f>
        <v>-904955.548086667</v>
      </c>
      <c r="D457" s="28" t="n">
        <f aca="false">IF(D$3&lt;=$D$455,Model!D37+Model!D38,-($H$456*(1+slb_esc)^(D$3-$D$455-1)+Model!D35)*(1-tax))+IF(D$3=$D$455,$G$456,0)</f>
        <v>-113297.120635235</v>
      </c>
      <c r="E457" s="28" t="n">
        <f aca="false">IF(E$3&lt;=$D$455,Model!E37+Model!E38,-($H$456*(1+slb_esc)^(E$3-$D$455-1)+Model!E35)*(1-tax))+IF(E$3=$D$455,$G$456,0)</f>
        <v>-697159.135167405</v>
      </c>
      <c r="F457" s="28" t="n">
        <f aca="false">IF(F$3&lt;=$D$455,Model!F37+Model!F38,-($H$456*(1+slb_esc)^(F$3-$D$455-1)+Model!F35)*(1-tax))+IF(F$3=$D$455,$G$456,0)</f>
        <v>-706930.952139887</v>
      </c>
      <c r="G457" s="28" t="n">
        <f aca="false">IF(G$3&lt;=$D$455,Model!G37+Model!G38,-($H$456*(1+slb_esc)^(G$3-$D$455-1)+Model!G35)*(1-tax))+IF(G$3=$D$455,$G$456,0)</f>
        <v>-717061.274931906</v>
      </c>
      <c r="H457" s="28" t="n">
        <f aca="false">IF(H$3&lt;=$D$455,Model!H37+Model!H38,-($H$456*(1+slb_esc)^(H$3-$D$455-1)+Model!H35)*(1-tax))+IF(H$3=$D$455,$G$456,0)</f>
        <v>-727565.564917249</v>
      </c>
      <c r="I457" s="28" t="n">
        <f aca="false">IF(I$3&lt;=$D$455,Model!I37+Model!I38,-($H$456*(1+slb_esc)^(I$3-$D$455-1)+Model!I35)*(1-tax))+IF(I$3=$D$455,$G$456,0)</f>
        <v>-738460.087143167</v>
      </c>
      <c r="J457" s="28" t="n">
        <f aca="false">IF(J$3&lt;=$D$455,Model!J37+Model!J38,-($H$456*(1+slb_esc)^(J$3-$D$455-1)+Model!J35)*(1-tax))+IF(J$3=$D$455,$G$456,0)</f>
        <v>960196.217214523</v>
      </c>
      <c r="K457" s="28" t="n">
        <f aca="false">IF(K$3&lt;=$D$455,Model!K37+Model!K38,-($H$456*(1+slb_esc)^(K$3-$D$455-1)+Model!K35)*(1-tax))+IF(K$3=$D$455,$G$456,0)</f>
        <v>-788811.866134226</v>
      </c>
      <c r="L457" s="28" t="n">
        <f aca="false">IF(L$3&lt;=$D$455,Model!L37+Model!L38,-($H$456*(1+slb_esc)^(L$3-$D$455-1)+Model!L35)*(1-tax))+IF(L$3=$D$455,$G$456,0)</f>
        <v>-807853.176647275</v>
      </c>
      <c r="M457" s="28" t="n">
        <f aca="false">IF(M$3&lt;=$D$455,Model!M37+Model!M38,-($H$456*(1+slb_esc)^(M$3-$D$455-1)+Model!M35)*(1-tax))+IF(M$3=$D$455,$G$456,0)</f>
        <v>-827373.265566295</v>
      </c>
    </row>
    <row r="458" customFormat="false" ht="15" hidden="false" customHeight="false" outlineLevel="0" collapsed="false">
      <c r="B458" s="20" t="s">
        <v>273</v>
      </c>
      <c r="C458" s="28" t="n">
        <f aca="false">C457+NPV(disc,D457:M457)</f>
        <v>-4309598.7837956</v>
      </c>
      <c r="D458" s="29" t="n">
        <f aca="false">C458-Model!$D$68</f>
        <v>1205668.08179911</v>
      </c>
    </row>
    <row r="460" customFormat="false" ht="15" hidden="false" customHeight="false" outlineLevel="0" collapsed="false">
      <c r="B460" s="20" t="s">
        <v>284</v>
      </c>
      <c r="C460" s="13" t="s">
        <v>183</v>
      </c>
      <c r="D460" s="30" t="n">
        <f aca="false">Sensitivity!$B$26</f>
        <v>7</v>
      </c>
      <c r="E460" s="13" t="s">
        <v>270</v>
      </c>
      <c r="F460" s="27" t="n">
        <f aca="false">Sensitivity!D$23</f>
        <v>0.075</v>
      </c>
    </row>
    <row r="461" customFormat="false" ht="15" hidden="false" customHeight="false" outlineLevel="0" collapsed="false">
      <c r="B461" s="13" t="s">
        <v>271</v>
      </c>
      <c r="C461" s="28" t="n">
        <f aca="false">INDEX(Model!$C$10:$N$10,1,$D$460+2)*sf/$F$460</f>
        <v>7802608.38983616</v>
      </c>
      <c r="D461" s="28" t="n">
        <f aca="false">C461*(1-sale_cost)</f>
        <v>7568530.13814108</v>
      </c>
      <c r="E461" s="28" t="n">
        <f aca="false">D461-(Model!$C$22-SUMPRODUCT((Model!$D$4:$M$4&lt;=$D$460)*Model!$D$36:$M$36))</f>
        <v>3920878.85608979</v>
      </c>
      <c r="F461" s="28" t="n">
        <f aca="false">INDEX(Model!$C$30:$M$30,1,$D$460+1)+INDEX(Model!$C$31:$M$31,1,$D$460+1)</f>
        <v>5462268.7456127</v>
      </c>
      <c r="G461" s="28" t="n">
        <f aca="false">D461-F461-tax*E461</f>
        <v>1282876.83274951</v>
      </c>
      <c r="H461" s="28" t="n">
        <f aca="false">INDEX(Model!$C$10:$N$10,1,$D$460+2)*sf</f>
        <v>585195.629237712</v>
      </c>
    </row>
    <row r="462" customFormat="false" ht="15" hidden="false" customHeight="false" outlineLevel="0" collapsed="false">
      <c r="B462" s="13" t="s">
        <v>272</v>
      </c>
      <c r="C462" s="28" t="n">
        <f aca="false">Model!$C$37+Model!$C$38</f>
        <v>-904955.548086667</v>
      </c>
      <c r="D462" s="28" t="n">
        <f aca="false">IF(D$3&lt;=$D$460,Model!D37+Model!D38,-($H$461*(1+slb_esc)^(D$3-$D$460-1)+Model!D35)*(1-tax))+IF(D$3=$D$460,$G$461,0)</f>
        <v>-113297.120635235</v>
      </c>
      <c r="E462" s="28" t="n">
        <f aca="false">IF(E$3&lt;=$D$460,Model!E37+Model!E38,-($H$461*(1+slb_esc)^(E$3-$D$460-1)+Model!E35)*(1-tax))+IF(E$3=$D$460,$G$461,0)</f>
        <v>-697159.135167405</v>
      </c>
      <c r="F462" s="28" t="n">
        <f aca="false">IF(F$3&lt;=$D$460,Model!F37+Model!F38,-($H$461*(1+slb_esc)^(F$3-$D$460-1)+Model!F35)*(1-tax))+IF(F$3=$D$460,$G$461,0)</f>
        <v>-706930.952139887</v>
      </c>
      <c r="G462" s="28" t="n">
        <f aca="false">IF(G$3&lt;=$D$460,Model!G37+Model!G38,-($H$461*(1+slb_esc)^(G$3-$D$460-1)+Model!G35)*(1-tax))+IF(G$3=$D$460,$G$461,0)</f>
        <v>-717061.274931906</v>
      </c>
      <c r="H462" s="28" t="n">
        <f aca="false">IF(H$3&lt;=$D$460,Model!H37+Model!H38,-($H$461*(1+slb_esc)^(H$3-$D$460-1)+Model!H35)*(1-tax))+IF(H$3=$D$460,$G$461,0)</f>
        <v>-727565.564917249</v>
      </c>
      <c r="I462" s="28" t="n">
        <f aca="false">IF(I$3&lt;=$D$460,Model!I37+Model!I38,-($H$461*(1+slb_esc)^(I$3-$D$460-1)+Model!I35)*(1-tax))+IF(I$3=$D$460,$G$461,0)</f>
        <v>-738460.087143167</v>
      </c>
      <c r="J462" s="28" t="n">
        <f aca="false">IF(J$3&lt;=$D$460,Model!J37+Model!J38,-($H$461*(1+slb_esc)^(J$3-$D$460-1)+Model!J35)*(1-tax))+IF(J$3=$D$460,$G$461,0)</f>
        <v>533114.873705135</v>
      </c>
      <c r="K462" s="28" t="n">
        <f aca="false">IF(K$3&lt;=$D$460,Model!K37+Model!K38,-($H$461*(1+slb_esc)^(K$3-$D$460-1)+Model!K35)*(1-tax))+IF(K$3=$D$460,$G$461,0)</f>
        <v>-788811.866134226</v>
      </c>
      <c r="L462" s="28" t="n">
        <f aca="false">IF(L$3&lt;=$D$460,Model!L37+Model!L38,-($H$461*(1+slb_esc)^(L$3-$D$460-1)+Model!L35)*(1-tax))+IF(L$3=$D$460,$G$461,0)</f>
        <v>-807853.176647275</v>
      </c>
      <c r="M462" s="28" t="n">
        <f aca="false">IF(M$3&lt;=$D$460,Model!M37+Model!M38,-($H$461*(1+slb_esc)^(M$3-$D$460-1)+Model!M35)*(1-tax))+IF(M$3=$D$460,$G$461,0)</f>
        <v>-827373.265566295</v>
      </c>
    </row>
    <row r="463" customFormat="false" ht="15" hidden="false" customHeight="false" outlineLevel="0" collapsed="false">
      <c r="B463" s="20" t="s">
        <v>273</v>
      </c>
      <c r="C463" s="28" t="n">
        <f aca="false">C462+NPV(disc,D462:M462)</f>
        <v>-4558796.64572898</v>
      </c>
      <c r="D463" s="29" t="n">
        <f aca="false">C463-Model!$D$68</f>
        <v>956470.219865731</v>
      </c>
    </row>
    <row r="465" customFormat="false" ht="15" hidden="false" customHeight="false" outlineLevel="0" collapsed="false">
      <c r="B465" s="20" t="s">
        <v>285</v>
      </c>
      <c r="C465" s="13" t="s">
        <v>183</v>
      </c>
      <c r="D465" s="30" t="n">
        <f aca="false">Sensitivity!$B$26</f>
        <v>7</v>
      </c>
      <c r="E465" s="13" t="s">
        <v>270</v>
      </c>
      <c r="F465" s="27" t="n">
        <f aca="false">Sensitivity!E$23</f>
        <v>0.08</v>
      </c>
    </row>
    <row r="466" customFormat="false" ht="15" hidden="false" customHeight="false" outlineLevel="0" collapsed="false">
      <c r="B466" s="13" t="s">
        <v>271</v>
      </c>
      <c r="C466" s="28" t="n">
        <f aca="false">INDEX(Model!$C$10:$N$10,1,$D$465+2)*sf/$F$465</f>
        <v>7314945.3654714</v>
      </c>
      <c r="D466" s="28" t="n">
        <f aca="false">C466*(1-sale_cost)</f>
        <v>7095497.00450726</v>
      </c>
      <c r="E466" s="28" t="n">
        <f aca="false">D466-(Model!$C$22-SUMPRODUCT((Model!$D$4:$M$4&lt;=$D$465)*Model!$D$36:$M$36))</f>
        <v>3447845.72245598</v>
      </c>
      <c r="F466" s="28" t="n">
        <f aca="false">INDEX(Model!$C$30:$M$30,1,$D$465+1)+INDEX(Model!$C$31:$M$31,1,$D$465+1)</f>
        <v>5462268.7456127</v>
      </c>
      <c r="G466" s="28" t="n">
        <f aca="false">D466-F466-tax*E466</f>
        <v>909180.657178799</v>
      </c>
      <c r="H466" s="28" t="n">
        <f aca="false">INDEX(Model!$C$10:$N$10,1,$D$465+2)*sf</f>
        <v>585195.629237712</v>
      </c>
    </row>
    <row r="467" customFormat="false" ht="15" hidden="false" customHeight="false" outlineLevel="0" collapsed="false">
      <c r="B467" s="13" t="s">
        <v>272</v>
      </c>
      <c r="C467" s="28" t="n">
        <f aca="false">Model!$C$37+Model!$C$38</f>
        <v>-904955.548086667</v>
      </c>
      <c r="D467" s="28" t="n">
        <f aca="false">IF(D$3&lt;=$D$465,Model!D37+Model!D38,-($H$466*(1+slb_esc)^(D$3-$D$465-1)+Model!D35)*(1-tax))+IF(D$3=$D$465,$G$466,0)</f>
        <v>-113297.120635235</v>
      </c>
      <c r="E467" s="28" t="n">
        <f aca="false">IF(E$3&lt;=$D$465,Model!E37+Model!E38,-($H$466*(1+slb_esc)^(E$3-$D$465-1)+Model!E35)*(1-tax))+IF(E$3=$D$465,$G$466,0)</f>
        <v>-697159.135167405</v>
      </c>
      <c r="F467" s="28" t="n">
        <f aca="false">IF(F$3&lt;=$D$465,Model!F37+Model!F38,-($H$466*(1+slb_esc)^(F$3-$D$465-1)+Model!F35)*(1-tax))+IF(F$3=$D$465,$G$466,0)</f>
        <v>-706930.952139887</v>
      </c>
      <c r="G467" s="28" t="n">
        <f aca="false">IF(G$3&lt;=$D$465,Model!G37+Model!G38,-($H$466*(1+slb_esc)^(G$3-$D$465-1)+Model!G35)*(1-tax))+IF(G$3=$D$465,$G$466,0)</f>
        <v>-717061.274931906</v>
      </c>
      <c r="H467" s="28" t="n">
        <f aca="false">IF(H$3&lt;=$D$465,Model!H37+Model!H38,-($H$466*(1+slb_esc)^(H$3-$D$465-1)+Model!H35)*(1-tax))+IF(H$3=$D$465,$G$466,0)</f>
        <v>-727565.564917249</v>
      </c>
      <c r="I467" s="28" t="n">
        <f aca="false">IF(I$3&lt;=$D$465,Model!I37+Model!I38,-($H$466*(1+slb_esc)^(I$3-$D$465-1)+Model!I35)*(1-tax))+IF(I$3=$D$465,$G$466,0)</f>
        <v>-738460.087143167</v>
      </c>
      <c r="J467" s="28" t="n">
        <f aca="false">IF(J$3&lt;=$D$465,Model!J37+Model!J38,-($H$466*(1+slb_esc)^(J$3-$D$465-1)+Model!J35)*(1-tax))+IF(J$3=$D$465,$G$466,0)</f>
        <v>159418.69813442</v>
      </c>
      <c r="K467" s="28" t="n">
        <f aca="false">IF(K$3&lt;=$D$465,Model!K37+Model!K38,-($H$466*(1+slb_esc)^(K$3-$D$465-1)+Model!K35)*(1-tax))+IF(K$3=$D$465,$G$466,0)</f>
        <v>-788811.866134226</v>
      </c>
      <c r="L467" s="28" t="n">
        <f aca="false">IF(L$3&lt;=$D$465,Model!L37+Model!L38,-($H$466*(1+slb_esc)^(L$3-$D$465-1)+Model!L35)*(1-tax))+IF(L$3=$D$465,$G$466,0)</f>
        <v>-807853.176647275</v>
      </c>
      <c r="M467" s="28" t="n">
        <f aca="false">IF(M$3&lt;=$D$465,Model!M37+Model!M38,-($H$466*(1+slb_esc)^(M$3-$D$465-1)+Model!M35)*(1-tax))+IF(M$3=$D$465,$G$466,0)</f>
        <v>-827373.265566295</v>
      </c>
    </row>
    <row r="468" customFormat="false" ht="15" hidden="false" customHeight="false" outlineLevel="0" collapsed="false">
      <c r="B468" s="20" t="s">
        <v>273</v>
      </c>
      <c r="C468" s="28" t="n">
        <f aca="false">C467+NPV(disc,D467:M467)</f>
        <v>-4776844.77492068</v>
      </c>
      <c r="D468" s="29" t="n">
        <f aca="false">C468-Model!$D$68</f>
        <v>738422.090674027</v>
      </c>
    </row>
    <row r="470" customFormat="false" ht="15" hidden="false" customHeight="false" outlineLevel="0" collapsed="false">
      <c r="B470" s="20" t="s">
        <v>286</v>
      </c>
      <c r="C470" s="13" t="s">
        <v>183</v>
      </c>
      <c r="D470" s="30" t="n">
        <f aca="false">Sensitivity!$B$26</f>
        <v>7</v>
      </c>
      <c r="E470" s="13" t="s">
        <v>270</v>
      </c>
      <c r="F470" s="27" t="n">
        <f aca="false">Sensitivity!F$23</f>
        <v>0.085</v>
      </c>
    </row>
    <row r="471" customFormat="false" ht="15" hidden="false" customHeight="false" outlineLevel="0" collapsed="false">
      <c r="B471" s="13" t="s">
        <v>271</v>
      </c>
      <c r="C471" s="28" t="n">
        <f aca="false">INDEX(Model!$C$10:$N$10,1,$D$470+2)*sf/$F$470</f>
        <v>6884654.46162014</v>
      </c>
      <c r="D471" s="28" t="n">
        <f aca="false">C471*(1-sale_cost)</f>
        <v>6678114.82777154</v>
      </c>
      <c r="E471" s="28" t="n">
        <f aca="false">D471-(Model!$C$22-SUMPRODUCT((Model!$D$4:$M$4&lt;=$D$470)*Model!$D$36:$M$36))</f>
        <v>3030463.54572025</v>
      </c>
      <c r="F471" s="28" t="n">
        <f aca="false">INDEX(Model!$C$30:$M$30,1,$D$470+1)+INDEX(Model!$C$31:$M$31,1,$D$470+1)</f>
        <v>5462268.7456127</v>
      </c>
      <c r="G471" s="28" t="n">
        <f aca="false">D471-F471-tax*E471</f>
        <v>579448.737557579</v>
      </c>
      <c r="H471" s="28" t="n">
        <f aca="false">INDEX(Model!$C$10:$N$10,1,$D$470+2)*sf</f>
        <v>585195.629237712</v>
      </c>
    </row>
    <row r="472" customFormat="false" ht="15" hidden="false" customHeight="false" outlineLevel="0" collapsed="false">
      <c r="B472" s="13" t="s">
        <v>272</v>
      </c>
      <c r="C472" s="28" t="n">
        <f aca="false">Model!$C$37+Model!$C$38</f>
        <v>-904955.548086667</v>
      </c>
      <c r="D472" s="28" t="n">
        <f aca="false">IF(D$3&lt;=$D$470,Model!D37+Model!D38,-($H$471*(1+slb_esc)^(D$3-$D$470-1)+Model!D35)*(1-tax))+IF(D$3=$D$470,$G$471,0)</f>
        <v>-113297.120635235</v>
      </c>
      <c r="E472" s="28" t="n">
        <f aca="false">IF(E$3&lt;=$D$470,Model!E37+Model!E38,-($H$471*(1+slb_esc)^(E$3-$D$470-1)+Model!E35)*(1-tax))+IF(E$3=$D$470,$G$471,0)</f>
        <v>-697159.135167405</v>
      </c>
      <c r="F472" s="28" t="n">
        <f aca="false">IF(F$3&lt;=$D$470,Model!F37+Model!F38,-($H$471*(1+slb_esc)^(F$3-$D$470-1)+Model!F35)*(1-tax))+IF(F$3=$D$470,$G$471,0)</f>
        <v>-706930.952139887</v>
      </c>
      <c r="G472" s="28" t="n">
        <f aca="false">IF(G$3&lt;=$D$470,Model!G37+Model!G38,-($H$471*(1+slb_esc)^(G$3-$D$470-1)+Model!G35)*(1-tax))+IF(G$3=$D$470,$G$471,0)</f>
        <v>-717061.274931906</v>
      </c>
      <c r="H472" s="28" t="n">
        <f aca="false">IF(H$3&lt;=$D$470,Model!H37+Model!H38,-($H$471*(1+slb_esc)^(H$3-$D$470-1)+Model!H35)*(1-tax))+IF(H$3=$D$470,$G$471,0)</f>
        <v>-727565.564917249</v>
      </c>
      <c r="I472" s="28" t="n">
        <f aca="false">IF(I$3&lt;=$D$470,Model!I37+Model!I38,-($H$471*(1+slb_esc)^(I$3-$D$470-1)+Model!I35)*(1-tax))+IF(I$3=$D$470,$G$471,0)</f>
        <v>-738460.087143167</v>
      </c>
      <c r="J472" s="28" t="n">
        <f aca="false">IF(J$3&lt;=$D$470,Model!J37+Model!J38,-($H$471*(1+slb_esc)^(J$3-$D$470-1)+Model!J35)*(1-tax))+IF(J$3=$D$470,$G$471,0)</f>
        <v>-170313.221486801</v>
      </c>
      <c r="K472" s="28" t="n">
        <f aca="false">IF(K$3&lt;=$D$470,Model!K37+Model!K38,-($H$471*(1+slb_esc)^(K$3-$D$470-1)+Model!K35)*(1-tax))+IF(K$3=$D$470,$G$471,0)</f>
        <v>-788811.866134226</v>
      </c>
      <c r="L472" s="28" t="n">
        <f aca="false">IF(L$3&lt;=$D$470,Model!L37+Model!L38,-($H$471*(1+slb_esc)^(L$3-$D$470-1)+Model!L35)*(1-tax))+IF(L$3=$D$470,$G$471,0)</f>
        <v>-807853.176647275</v>
      </c>
      <c r="M472" s="28" t="n">
        <f aca="false">IF(M$3&lt;=$D$470,Model!M37+Model!M38,-($H$471*(1+slb_esc)^(M$3-$D$470-1)+Model!M35)*(1-tax))+IF(M$3=$D$470,$G$471,0)</f>
        <v>-827373.265566295</v>
      </c>
    </row>
    <row r="473" customFormat="false" ht="15" hidden="false" customHeight="false" outlineLevel="0" collapsed="false">
      <c r="B473" s="20" t="s">
        <v>273</v>
      </c>
      <c r="C473" s="28" t="n">
        <f aca="false">C472+NPV(disc,D472:M472)</f>
        <v>-4969240.18303101</v>
      </c>
      <c r="D473" s="29" t="n">
        <f aca="false">C473-Model!$D$68</f>
        <v>546026.682563698</v>
      </c>
    </row>
    <row r="475" customFormat="false" ht="15" hidden="false" customHeight="false" outlineLevel="0" collapsed="false">
      <c r="B475" s="20" t="s">
        <v>287</v>
      </c>
      <c r="C475" s="13" t="s">
        <v>183</v>
      </c>
      <c r="D475" s="30" t="n">
        <f aca="false">Sensitivity!$B$26</f>
        <v>7</v>
      </c>
      <c r="E475" s="13" t="s">
        <v>270</v>
      </c>
      <c r="F475" s="27" t="n">
        <f aca="false">Sensitivity!G$23</f>
        <v>0.09</v>
      </c>
    </row>
    <row r="476" customFormat="false" ht="15" hidden="false" customHeight="false" outlineLevel="0" collapsed="false">
      <c r="B476" s="13" t="s">
        <v>271</v>
      </c>
      <c r="C476" s="28" t="n">
        <f aca="false">INDEX(Model!$C$10:$N$10,1,$D$475+2)*sf/$F$475</f>
        <v>6502173.6581968</v>
      </c>
      <c r="D476" s="28" t="n">
        <f aca="false">C476*(1-sale_cost)</f>
        <v>6307108.4484509</v>
      </c>
      <c r="E476" s="28" t="n">
        <f aca="false">D476-(Model!$C$22-SUMPRODUCT((Model!$D$4:$M$4&lt;=$D$475)*Model!$D$36:$M$36))</f>
        <v>2659457.16639961</v>
      </c>
      <c r="F476" s="28" t="n">
        <f aca="false">INDEX(Model!$C$30:$M$30,1,$D$475+1)+INDEX(Model!$C$31:$M$31,1,$D$475+1)</f>
        <v>5462268.7456127</v>
      </c>
      <c r="G476" s="28" t="n">
        <f aca="false">D476-F476-tax*E476</f>
        <v>286353.697894273</v>
      </c>
      <c r="H476" s="28" t="n">
        <f aca="false">INDEX(Model!$C$10:$N$10,1,$D$475+2)*sf</f>
        <v>585195.629237712</v>
      </c>
    </row>
    <row r="477" customFormat="false" ht="15" hidden="false" customHeight="false" outlineLevel="0" collapsed="false">
      <c r="B477" s="13" t="s">
        <v>272</v>
      </c>
      <c r="C477" s="28" t="n">
        <f aca="false">Model!$C$37+Model!$C$38</f>
        <v>-904955.548086667</v>
      </c>
      <c r="D477" s="28" t="n">
        <f aca="false">IF(D$3&lt;=$D$475,Model!D37+Model!D38,-($H$476*(1+slb_esc)^(D$3-$D$475-1)+Model!D35)*(1-tax))+IF(D$3=$D$475,$G$476,0)</f>
        <v>-113297.120635235</v>
      </c>
      <c r="E477" s="28" t="n">
        <f aca="false">IF(E$3&lt;=$D$475,Model!E37+Model!E38,-($H$476*(1+slb_esc)^(E$3-$D$475-1)+Model!E35)*(1-tax))+IF(E$3=$D$475,$G$476,0)</f>
        <v>-697159.135167405</v>
      </c>
      <c r="F477" s="28" t="n">
        <f aca="false">IF(F$3&lt;=$D$475,Model!F37+Model!F38,-($H$476*(1+slb_esc)^(F$3-$D$475-1)+Model!F35)*(1-tax))+IF(F$3=$D$475,$G$476,0)</f>
        <v>-706930.952139887</v>
      </c>
      <c r="G477" s="28" t="n">
        <f aca="false">IF(G$3&lt;=$D$475,Model!G37+Model!G38,-($H$476*(1+slb_esc)^(G$3-$D$475-1)+Model!G35)*(1-tax))+IF(G$3=$D$475,$G$476,0)</f>
        <v>-717061.274931906</v>
      </c>
      <c r="H477" s="28" t="n">
        <f aca="false">IF(H$3&lt;=$D$475,Model!H37+Model!H38,-($H$476*(1+slb_esc)^(H$3-$D$475-1)+Model!H35)*(1-tax))+IF(H$3=$D$475,$G$476,0)</f>
        <v>-727565.564917249</v>
      </c>
      <c r="I477" s="28" t="n">
        <f aca="false">IF(I$3&lt;=$D$475,Model!I37+Model!I38,-($H$476*(1+slb_esc)^(I$3-$D$475-1)+Model!I35)*(1-tax))+IF(I$3=$D$475,$G$476,0)</f>
        <v>-738460.087143167</v>
      </c>
      <c r="J477" s="28" t="n">
        <f aca="false">IF(J$3&lt;=$D$475,Model!J37+Model!J38,-($H$476*(1+slb_esc)^(J$3-$D$475-1)+Model!J35)*(1-tax))+IF(J$3=$D$475,$G$476,0)</f>
        <v>-463408.261150107</v>
      </c>
      <c r="K477" s="28" t="n">
        <f aca="false">IF(K$3&lt;=$D$475,Model!K37+Model!K38,-($H$476*(1+slb_esc)^(K$3-$D$475-1)+Model!K35)*(1-tax))+IF(K$3=$D$475,$G$476,0)</f>
        <v>-788811.866134226</v>
      </c>
      <c r="L477" s="28" t="n">
        <f aca="false">IF(L$3&lt;=$D$475,Model!L37+Model!L38,-($H$476*(1+slb_esc)^(L$3-$D$475-1)+Model!L35)*(1-tax))+IF(L$3=$D$475,$G$476,0)</f>
        <v>-807853.176647275</v>
      </c>
      <c r="M477" s="28" t="n">
        <f aca="false">IF(M$3&lt;=$D$475,Model!M37+Model!M38,-($H$476*(1+slb_esc)^(M$3-$D$475-1)+Model!M35)*(1-tax))+IF(M$3=$D$475,$G$476,0)</f>
        <v>-827373.265566295</v>
      </c>
    </row>
    <row r="478" customFormat="false" ht="15" hidden="false" customHeight="false" outlineLevel="0" collapsed="false">
      <c r="B478" s="20" t="s">
        <v>273</v>
      </c>
      <c r="C478" s="28" t="n">
        <f aca="false">C477+NPV(disc,D477:M477)</f>
        <v>-5140258.32357352</v>
      </c>
      <c r="D478" s="29" t="n">
        <f aca="false">C478-Model!$D$68</f>
        <v>375008.542021185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6"/>
    <col collapsed="false" customWidth="true" hidden="false" outlineLevel="0" max="3" min="3" style="0" width="90"/>
    <col collapsed="false" customWidth="true" hidden="false" outlineLevel="0" max="4" min="4" style="0" width="26"/>
    <col collapsed="false" customWidth="true" hidden="false" outlineLevel="0" max="5" min="5" style="0" width="90"/>
  </cols>
  <sheetData>
    <row r="1" customFormat="false" ht="15" hidden="false" customHeight="false" outlineLevel="0" collapsed="false">
      <c r="A1" s="3" t="s">
        <v>288</v>
      </c>
      <c r="B1" s="3" t="s">
        <v>289</v>
      </c>
      <c r="C1" s="3" t="s">
        <v>290</v>
      </c>
      <c r="D1" s="3" t="s">
        <v>291</v>
      </c>
      <c r="E1" s="3" t="s">
        <v>292</v>
      </c>
    </row>
    <row r="2" customFormat="false" ht="15" hidden="false" customHeight="false" outlineLevel="0" collapsed="false">
      <c r="A2" s="2" t="n">
        <v>1</v>
      </c>
      <c r="B2" s="2" t="s">
        <v>293</v>
      </c>
      <c r="C2" s="2" t="s">
        <v>294</v>
      </c>
      <c r="D2" s="2" t="s">
        <v>295</v>
      </c>
      <c r="E2" s="2" t="s">
        <v>296</v>
      </c>
    </row>
    <row r="3" customFormat="false" ht="15" hidden="false" customHeight="false" outlineLevel="0" collapsed="false">
      <c r="A3" s="2" t="n">
        <v>2</v>
      </c>
      <c r="B3" s="2" t="s">
        <v>297</v>
      </c>
      <c r="C3" s="2" t="s">
        <v>298</v>
      </c>
      <c r="D3" s="2" t="s">
        <v>299</v>
      </c>
      <c r="E3" s="2" t="s">
        <v>300</v>
      </c>
    </row>
    <row r="4" customFormat="false" ht="15" hidden="false" customHeight="false" outlineLevel="0" collapsed="false">
      <c r="A4" s="2" t="n">
        <v>3</v>
      </c>
      <c r="B4" s="2" t="s">
        <v>301</v>
      </c>
      <c r="C4" s="2" t="s">
        <v>302</v>
      </c>
      <c r="D4" s="2" t="s">
        <v>295</v>
      </c>
      <c r="E4" s="2" t="s">
        <v>303</v>
      </c>
    </row>
    <row r="5" customFormat="false" ht="15" hidden="false" customHeight="false" outlineLevel="0" collapsed="false">
      <c r="A5" s="2" t="n">
        <v>4</v>
      </c>
      <c r="B5" s="2" t="s">
        <v>304</v>
      </c>
      <c r="C5" s="2" t="s">
        <v>305</v>
      </c>
      <c r="D5" s="2" t="s">
        <v>306</v>
      </c>
      <c r="E5" s="2" t="s">
        <v>307</v>
      </c>
    </row>
    <row r="6" customFormat="false" ht="15" hidden="false" customHeight="false" outlineLevel="0" collapsed="false">
      <c r="A6" s="2" t="n">
        <v>5</v>
      </c>
      <c r="B6" s="2" t="s">
        <v>308</v>
      </c>
      <c r="C6" s="2" t="s">
        <v>309</v>
      </c>
      <c r="D6" s="2" t="s">
        <v>310</v>
      </c>
      <c r="E6" s="2" t="s">
        <v>311</v>
      </c>
    </row>
    <row r="7" customFormat="false" ht="15" hidden="false" customHeight="false" outlineLevel="0" collapsed="false">
      <c r="A7" s="2" t="n">
        <v>6</v>
      </c>
      <c r="B7" s="2" t="s">
        <v>312</v>
      </c>
      <c r="C7" s="2" t="s">
        <v>313</v>
      </c>
      <c r="D7" s="2" t="s">
        <v>314</v>
      </c>
      <c r="E7" s="2" t="s">
        <v>315</v>
      </c>
    </row>
    <row r="8" customFormat="false" ht="15" hidden="false" customHeight="false" outlineLevel="0" collapsed="false">
      <c r="A8" s="2" t="n">
        <v>7</v>
      </c>
      <c r="B8" s="2" t="s">
        <v>316</v>
      </c>
      <c r="C8" s="2" t="s">
        <v>317</v>
      </c>
      <c r="D8" s="2" t="s">
        <v>318</v>
      </c>
      <c r="E8" s="2" t="s">
        <v>319</v>
      </c>
    </row>
    <row r="9" customFormat="false" ht="15" hidden="false" customHeight="false" outlineLevel="0" collapsed="false">
      <c r="A9" s="2" t="n">
        <v>8</v>
      </c>
      <c r="B9" s="2" t="s">
        <v>320</v>
      </c>
      <c r="C9" s="2" t="s">
        <v>321</v>
      </c>
      <c r="D9" s="2" t="s">
        <v>295</v>
      </c>
      <c r="E9" s="2" t="s">
        <v>322</v>
      </c>
    </row>
    <row r="10" customFormat="false" ht="15" hidden="false" customHeight="false" outlineLevel="0" collapsed="false">
      <c r="A10" s="2" t="n">
        <v>9</v>
      </c>
      <c r="B10" s="2" t="s">
        <v>323</v>
      </c>
      <c r="C10" s="2" t="s">
        <v>324</v>
      </c>
      <c r="D10" s="2" t="s">
        <v>325</v>
      </c>
      <c r="E10" s="2" t="s">
        <v>326</v>
      </c>
    </row>
    <row r="11" customFormat="false" ht="15" hidden="false" customHeight="false" outlineLevel="0" collapsed="false">
      <c r="A11" s="2" t="n">
        <v>10</v>
      </c>
      <c r="B11" s="2" t="s">
        <v>312</v>
      </c>
      <c r="C11" s="2" t="s">
        <v>327</v>
      </c>
      <c r="D11" s="2" t="s">
        <v>328</v>
      </c>
      <c r="E11" s="2" t="s">
        <v>329</v>
      </c>
    </row>
    <row r="12" customFormat="false" ht="15" hidden="false" customHeight="false" outlineLevel="0" collapsed="false">
      <c r="A12" s="2" t="n">
        <v>11</v>
      </c>
      <c r="B12" s="2" t="s">
        <v>330</v>
      </c>
      <c r="C12" s="2" t="s">
        <v>331</v>
      </c>
      <c r="D12" s="2" t="s">
        <v>332</v>
      </c>
      <c r="E12" s="2" t="s">
        <v>333</v>
      </c>
    </row>
    <row r="13" customFormat="false" ht="15" hidden="false" customHeight="false" outlineLevel="0" collapsed="false">
      <c r="A13" s="2" t="n">
        <v>12</v>
      </c>
      <c r="B13" s="2" t="s">
        <v>316</v>
      </c>
      <c r="C13" s="2" t="s">
        <v>334</v>
      </c>
      <c r="D13" s="2" t="s">
        <v>335</v>
      </c>
      <c r="E13" s="2" t="s">
        <v>336</v>
      </c>
    </row>
    <row r="14" customFormat="false" ht="15" hidden="false" customHeight="false" outlineLevel="0" collapsed="false">
      <c r="A14" s="2" t="n">
        <v>13</v>
      </c>
      <c r="B14" s="2" t="s">
        <v>312</v>
      </c>
      <c r="C14" s="2" t="s">
        <v>337</v>
      </c>
      <c r="D14" s="2" t="s">
        <v>338</v>
      </c>
      <c r="E14" s="2" t="s">
        <v>339</v>
      </c>
    </row>
    <row r="15" customFormat="false" ht="15" hidden="false" customHeight="false" outlineLevel="0" collapsed="false">
      <c r="A15" s="2" t="n">
        <v>14</v>
      </c>
      <c r="B15" s="2" t="s">
        <v>312</v>
      </c>
      <c r="C15" s="2" t="s">
        <v>340</v>
      </c>
      <c r="D15" s="2" t="s">
        <v>341</v>
      </c>
      <c r="E15" s="2" t="s">
        <v>342</v>
      </c>
    </row>
    <row r="16" customFormat="false" ht="15" hidden="false" customHeight="false" outlineLevel="0" collapsed="false">
      <c r="A16" s="2" t="n">
        <v>15</v>
      </c>
      <c r="B16" s="2" t="s">
        <v>343</v>
      </c>
      <c r="C16" s="2" t="s">
        <v>344</v>
      </c>
      <c r="D16" s="2" t="s">
        <v>345</v>
      </c>
      <c r="E16" s="2" t="s">
        <v>346</v>
      </c>
    </row>
    <row r="17" customFormat="false" ht="15" hidden="false" customHeight="false" outlineLevel="0" collapsed="false">
      <c r="A17" s="2" t="n">
        <v>16</v>
      </c>
      <c r="B17" s="2" t="s">
        <v>347</v>
      </c>
      <c r="C17" s="2" t="s">
        <v>348</v>
      </c>
      <c r="D17" s="2" t="s">
        <v>349</v>
      </c>
      <c r="E17" s="2" t="s">
        <v>350</v>
      </c>
    </row>
    <row r="18" customFormat="false" ht="15" hidden="false" customHeight="false" outlineLevel="0" collapsed="false">
      <c r="A18" s="2" t="n">
        <v>17</v>
      </c>
      <c r="B18" s="2" t="s">
        <v>351</v>
      </c>
      <c r="C18" s="2" t="s">
        <v>352</v>
      </c>
      <c r="D18" s="2" t="s">
        <v>353</v>
      </c>
      <c r="E18" s="2" t="s">
        <v>354</v>
      </c>
    </row>
    <row r="19" customFormat="false" ht="15" hidden="false" customHeight="false" outlineLevel="0" collapsed="false">
      <c r="A19" s="2" t="n">
        <v>18</v>
      </c>
      <c r="B19" s="2" t="s">
        <v>355</v>
      </c>
      <c r="C19" s="2" t="s">
        <v>356</v>
      </c>
      <c r="D19" s="2" t="s">
        <v>357</v>
      </c>
      <c r="E19" s="2" t="s">
        <v>358</v>
      </c>
    </row>
    <row r="20" customFormat="false" ht="15" hidden="false" customHeight="false" outlineLevel="0" collapsed="false">
      <c r="A20" s="2" t="n">
        <v>19</v>
      </c>
      <c r="B20" s="2" t="s">
        <v>359</v>
      </c>
      <c r="C20" s="2" t="s">
        <v>360</v>
      </c>
      <c r="D20" s="2" t="s">
        <v>361</v>
      </c>
      <c r="E20" s="2" t="s">
        <v>362</v>
      </c>
    </row>
    <row r="21" customFormat="false" ht="15" hidden="false" customHeight="false" outlineLevel="0" collapsed="false">
      <c r="A21" s="2" t="n">
        <v>20</v>
      </c>
      <c r="B21" s="2" t="s">
        <v>363</v>
      </c>
      <c r="C21" s="2" t="s">
        <v>364</v>
      </c>
      <c r="D21" s="2" t="s">
        <v>365</v>
      </c>
      <c r="E21" s="2" t="s">
        <v>366</v>
      </c>
    </row>
    <row r="22" customFormat="false" ht="15" hidden="false" customHeight="false" outlineLevel="0" collapsed="false">
      <c r="A22" s="2" t="n">
        <v>21</v>
      </c>
      <c r="B22" s="2" t="s">
        <v>323</v>
      </c>
      <c r="C22" s="2" t="s">
        <v>367</v>
      </c>
      <c r="D22" s="2" t="s">
        <v>368</v>
      </c>
      <c r="E22" s="2" t="s">
        <v>369</v>
      </c>
    </row>
    <row r="23" customFormat="false" ht="15" hidden="false" customHeight="false" outlineLevel="0" collapsed="false">
      <c r="A23" s="2" t="n">
        <v>22</v>
      </c>
      <c r="B23" s="2" t="s">
        <v>323</v>
      </c>
      <c r="C23" s="2" t="s">
        <v>370</v>
      </c>
      <c r="D23" s="2" t="s">
        <v>371</v>
      </c>
      <c r="E23" s="2" t="s">
        <v>372</v>
      </c>
    </row>
    <row r="24" customFormat="false" ht="15" hidden="false" customHeight="false" outlineLevel="0" collapsed="false">
      <c r="A24" s="2" t="n">
        <v>23</v>
      </c>
      <c r="B24" s="2" t="s">
        <v>373</v>
      </c>
      <c r="C24" s="2" t="s">
        <v>374</v>
      </c>
      <c r="D24" s="2" t="s">
        <v>375</v>
      </c>
      <c r="E24" s="2" t="s">
        <v>376</v>
      </c>
    </row>
    <row r="25" customFormat="false" ht="15" hidden="false" customHeight="false" outlineLevel="0" collapsed="false">
      <c r="A25" s="2" t="n">
        <v>24</v>
      </c>
      <c r="B25" s="2" t="s">
        <v>304</v>
      </c>
      <c r="C25" s="2" t="s">
        <v>377</v>
      </c>
      <c r="D25" s="2" t="s">
        <v>378</v>
      </c>
      <c r="E25" s="2" t="s">
        <v>379</v>
      </c>
    </row>
    <row r="26" customFormat="false" ht="15" hidden="false" customHeight="false" outlineLevel="0" collapsed="false">
      <c r="A26" s="2" t="n">
        <v>25</v>
      </c>
      <c r="B26" s="2" t="s">
        <v>304</v>
      </c>
      <c r="C26" s="2" t="s">
        <v>380</v>
      </c>
      <c r="D26" s="2" t="s">
        <v>381</v>
      </c>
      <c r="E26" s="2" t="s">
        <v>382</v>
      </c>
    </row>
    <row r="27" customFormat="false" ht="15" hidden="false" customHeight="false" outlineLevel="0" collapsed="false">
      <c r="A27" s="2" t="n">
        <v>26</v>
      </c>
      <c r="B27" s="2" t="s">
        <v>304</v>
      </c>
      <c r="C27" s="2" t="s">
        <v>383</v>
      </c>
      <c r="D27" s="2" t="s">
        <v>384</v>
      </c>
      <c r="E27" s="2" t="s">
        <v>385</v>
      </c>
    </row>
    <row r="28" customFormat="false" ht="15" hidden="false" customHeight="false" outlineLevel="0" collapsed="false">
      <c r="A28" s="2" t="n">
        <v>27</v>
      </c>
      <c r="B28" s="2" t="s">
        <v>386</v>
      </c>
      <c r="C28" s="2" t="s">
        <v>387</v>
      </c>
      <c r="D28" s="2" t="s">
        <v>388</v>
      </c>
      <c r="E28" s="2" t="s">
        <v>389</v>
      </c>
    </row>
    <row r="29" customFormat="false" ht="15" hidden="false" customHeight="false" outlineLevel="0" collapsed="false">
      <c r="A29" s="2" t="n">
        <v>28</v>
      </c>
      <c r="B29" s="2" t="s">
        <v>390</v>
      </c>
      <c r="C29" s="2" t="s">
        <v>391</v>
      </c>
      <c r="D29" s="2" t="s">
        <v>392</v>
      </c>
      <c r="E29" s="2" t="s">
        <v>393</v>
      </c>
    </row>
    <row r="30" customFormat="false" ht="15" hidden="false" customHeight="false" outlineLevel="0" collapsed="false">
      <c r="A30" s="2" t="n">
        <v>29</v>
      </c>
      <c r="B30" s="2" t="s">
        <v>330</v>
      </c>
      <c r="C30" s="2" t="s">
        <v>394</v>
      </c>
      <c r="D30" s="2" t="s">
        <v>395</v>
      </c>
      <c r="E30" s="2" t="s">
        <v>396</v>
      </c>
    </row>
    <row r="31" customFormat="false" ht="15" hidden="false" customHeight="false" outlineLevel="0" collapsed="false">
      <c r="A31" s="2" t="n">
        <v>30</v>
      </c>
      <c r="B31" s="2" t="s">
        <v>308</v>
      </c>
      <c r="C31" s="2" t="s">
        <v>397</v>
      </c>
      <c r="D31" s="2" t="s">
        <v>398</v>
      </c>
      <c r="E31" s="2" t="s">
        <v>399</v>
      </c>
    </row>
    <row r="32" customFormat="false" ht="15" hidden="false" customHeight="false" outlineLevel="0" collapsed="false">
      <c r="A32" s="2" t="n">
        <v>31</v>
      </c>
      <c r="B32" s="2" t="s">
        <v>390</v>
      </c>
      <c r="C32" s="2" t="s">
        <v>400</v>
      </c>
      <c r="D32" s="2" t="s">
        <v>299</v>
      </c>
      <c r="E32" s="2" t="s">
        <v>401</v>
      </c>
    </row>
    <row r="33" customFormat="false" ht="15" hidden="false" customHeight="false" outlineLevel="0" collapsed="false">
      <c r="A33" s="2" t="n">
        <v>32</v>
      </c>
      <c r="B33" s="2" t="s">
        <v>402</v>
      </c>
      <c r="C33" s="2" t="s">
        <v>403</v>
      </c>
      <c r="D33" s="2" t="s">
        <v>404</v>
      </c>
      <c r="E33" s="2" t="s">
        <v>405</v>
      </c>
    </row>
    <row r="34" customFormat="false" ht="15" hidden="false" customHeight="false" outlineLevel="0" collapsed="false">
      <c r="A34" s="2" t="n">
        <v>33</v>
      </c>
      <c r="B34" s="2" t="s">
        <v>406</v>
      </c>
      <c r="C34" s="2" t="s">
        <v>407</v>
      </c>
      <c r="D34" s="2" t="s">
        <v>408</v>
      </c>
      <c r="E34" s="2" t="s">
        <v>409</v>
      </c>
    </row>
    <row r="35" customFormat="false" ht="15" hidden="false" customHeight="false" outlineLevel="0" collapsed="false">
      <c r="A35" s="2" t="n">
        <v>34</v>
      </c>
      <c r="B35" s="2" t="s">
        <v>406</v>
      </c>
      <c r="C35" s="2" t="s">
        <v>410</v>
      </c>
      <c r="D35" s="2" t="s">
        <v>411</v>
      </c>
      <c r="E35" s="2" t="s">
        <v>412</v>
      </c>
    </row>
    <row r="36" customFormat="false" ht="15" hidden="false" customHeight="false" outlineLevel="0" collapsed="false">
      <c r="A36" s="2" t="n">
        <v>35</v>
      </c>
      <c r="B36" s="2" t="s">
        <v>304</v>
      </c>
      <c r="C36" s="2" t="s">
        <v>413</v>
      </c>
      <c r="D36" s="2" t="s">
        <v>414</v>
      </c>
      <c r="E36" s="2" t="s">
        <v>415</v>
      </c>
    </row>
    <row r="37" customFormat="false" ht="15" hidden="false" customHeight="false" outlineLevel="0" collapsed="false">
      <c r="A37" s="2" t="n">
        <v>36</v>
      </c>
      <c r="B37" s="2" t="s">
        <v>416</v>
      </c>
      <c r="C37" s="2" t="s">
        <v>417</v>
      </c>
      <c r="D37" s="2" t="s">
        <v>418</v>
      </c>
      <c r="E37" s="2" t="s">
        <v>419</v>
      </c>
    </row>
    <row r="38" customFormat="false" ht="15" hidden="false" customHeight="false" outlineLevel="0" collapsed="false">
      <c r="A38" s="2" t="n">
        <v>37</v>
      </c>
      <c r="B38" s="2" t="s">
        <v>416</v>
      </c>
      <c r="C38" s="2" t="s">
        <v>420</v>
      </c>
      <c r="D38" s="2" t="s">
        <v>421</v>
      </c>
      <c r="E38" s="2" t="s">
        <v>422</v>
      </c>
    </row>
    <row r="39" customFormat="false" ht="15" hidden="false" customHeight="false" outlineLevel="0" collapsed="false">
      <c r="A39" s="2" t="n">
        <v>38</v>
      </c>
      <c r="B39" s="2" t="s">
        <v>423</v>
      </c>
      <c r="C39" s="2" t="s">
        <v>424</v>
      </c>
      <c r="D39" s="2" t="s">
        <v>425</v>
      </c>
      <c r="E39" s="2" t="s">
        <v>426</v>
      </c>
    </row>
    <row r="40" customFormat="false" ht="15" hidden="false" customHeight="false" outlineLevel="0" collapsed="false">
      <c r="A40" s="2" t="n">
        <v>39</v>
      </c>
      <c r="B40" s="2" t="s">
        <v>427</v>
      </c>
      <c r="C40" s="2" t="s">
        <v>428</v>
      </c>
      <c r="D40" s="2" t="s">
        <v>429</v>
      </c>
      <c r="E40" s="2" t="s">
        <v>430</v>
      </c>
    </row>
    <row r="41" customFormat="false" ht="15" hidden="false" customHeight="false" outlineLevel="0" collapsed="false">
      <c r="A41" s="2" t="n">
        <v>40</v>
      </c>
      <c r="B41" s="2" t="s">
        <v>431</v>
      </c>
      <c r="C41" s="2" t="s">
        <v>432</v>
      </c>
      <c r="D41" s="2" t="s">
        <v>433</v>
      </c>
      <c r="E41" s="2" t="s">
        <v>434</v>
      </c>
    </row>
    <row r="42" customFormat="false" ht="15" hidden="false" customHeight="false" outlineLevel="0" collapsed="false">
      <c r="A42" s="2" t="n">
        <v>41</v>
      </c>
      <c r="B42" s="2" t="s">
        <v>435</v>
      </c>
      <c r="C42" s="2" t="s">
        <v>436</v>
      </c>
      <c r="D42" s="2" t="s">
        <v>437</v>
      </c>
      <c r="E42" s="2" t="s">
        <v>438</v>
      </c>
    </row>
    <row r="43" customFormat="false" ht="15" hidden="false" customHeight="false" outlineLevel="0" collapsed="false">
      <c r="A43" s="2" t="n">
        <v>42</v>
      </c>
      <c r="B43" s="2" t="s">
        <v>439</v>
      </c>
      <c r="C43" s="2" t="s">
        <v>440</v>
      </c>
      <c r="D43" s="2" t="s">
        <v>441</v>
      </c>
      <c r="E43" s="2" t="s">
        <v>442</v>
      </c>
    </row>
    <row r="44" customFormat="false" ht="15" hidden="false" customHeight="false" outlineLevel="0" collapsed="false">
      <c r="A44" s="2" t="n">
        <v>43</v>
      </c>
      <c r="B44" s="2" t="s">
        <v>443</v>
      </c>
      <c r="C44" s="2" t="s">
        <v>444</v>
      </c>
      <c r="D44" s="2" t="s">
        <v>445</v>
      </c>
      <c r="E44" s="2" t="s">
        <v>446</v>
      </c>
    </row>
    <row r="45" customFormat="false" ht="15" hidden="false" customHeight="false" outlineLevel="0" collapsed="false">
      <c r="A45" s="2" t="n">
        <v>44</v>
      </c>
      <c r="B45" s="2" t="s">
        <v>304</v>
      </c>
      <c r="C45" s="2" t="s">
        <v>447</v>
      </c>
      <c r="D45" s="2" t="s">
        <v>448</v>
      </c>
      <c r="E45" s="2" t="s">
        <v>449</v>
      </c>
    </row>
    <row r="46" customFormat="false" ht="15" hidden="false" customHeight="false" outlineLevel="0" collapsed="false">
      <c r="A46" s="2" t="n">
        <v>45</v>
      </c>
      <c r="B46" s="2" t="s">
        <v>308</v>
      </c>
      <c r="C46" s="2" t="s">
        <v>450</v>
      </c>
      <c r="D46" s="2" t="s">
        <v>451</v>
      </c>
      <c r="E46" s="2" t="s">
        <v>452</v>
      </c>
    </row>
    <row r="47" customFormat="false" ht="15" hidden="false" customHeight="false" outlineLevel="0" collapsed="false">
      <c r="A47" s="2" t="n">
        <v>46</v>
      </c>
      <c r="B47" s="2" t="s">
        <v>453</v>
      </c>
      <c r="C47" s="2" t="s">
        <v>454</v>
      </c>
      <c r="D47" s="2" t="s">
        <v>455</v>
      </c>
      <c r="E47" s="2" t="s">
        <v>456</v>
      </c>
    </row>
    <row r="48" customFormat="false" ht="15" hidden="false" customHeight="false" outlineLevel="0" collapsed="false">
      <c r="A48" s="2" t="n">
        <v>47</v>
      </c>
      <c r="B48" s="2" t="s">
        <v>457</v>
      </c>
      <c r="C48" s="2" t="s">
        <v>458</v>
      </c>
      <c r="D48" s="2" t="s">
        <v>459</v>
      </c>
      <c r="E48" s="2" t="s">
        <v>460</v>
      </c>
    </row>
    <row r="49" customFormat="false" ht="15" hidden="false" customHeight="false" outlineLevel="0" collapsed="false">
      <c r="A49" s="2" t="n">
        <v>48</v>
      </c>
      <c r="B49" s="2" t="s">
        <v>390</v>
      </c>
      <c r="C49" s="2" t="s">
        <v>461</v>
      </c>
      <c r="D49" s="2" t="s">
        <v>299</v>
      </c>
      <c r="E49" s="2" t="s">
        <v>462</v>
      </c>
    </row>
    <row r="50" customFormat="false" ht="15" hidden="false" customHeight="false" outlineLevel="0" collapsed="false">
      <c r="A50" s="2" t="n">
        <v>49</v>
      </c>
      <c r="B50" s="2" t="s">
        <v>463</v>
      </c>
      <c r="C50" s="2" t="s">
        <v>464</v>
      </c>
      <c r="D50" s="2" t="s">
        <v>437</v>
      </c>
      <c r="E50" s="2" t="s">
        <v>465</v>
      </c>
    </row>
    <row r="51" customFormat="false" ht="15" hidden="false" customHeight="false" outlineLevel="0" collapsed="false">
      <c r="A51" s="2" t="n">
        <v>50</v>
      </c>
      <c r="B51" s="2" t="s">
        <v>466</v>
      </c>
      <c r="C51" s="2" t="s">
        <v>467</v>
      </c>
      <c r="D51" s="2" t="s">
        <v>468</v>
      </c>
      <c r="E51" s="2" t="s">
        <v>469</v>
      </c>
    </row>
    <row r="52" customFormat="false" ht="15" hidden="false" customHeight="false" outlineLevel="0" collapsed="false">
      <c r="A52" s="2" t="n">
        <v>51</v>
      </c>
      <c r="B52" s="2" t="s">
        <v>470</v>
      </c>
      <c r="C52" s="2" t="s">
        <v>471</v>
      </c>
      <c r="D52" s="2" t="s">
        <v>472</v>
      </c>
      <c r="E52" s="2" t="s">
        <v>473</v>
      </c>
    </row>
    <row r="53" customFormat="false" ht="15" hidden="false" customHeight="false" outlineLevel="0" collapsed="false">
      <c r="A53" s="2" t="n">
        <v>52</v>
      </c>
      <c r="B53" s="2" t="s">
        <v>474</v>
      </c>
      <c r="C53" s="2" t="s">
        <v>475</v>
      </c>
      <c r="D53" s="2" t="s">
        <v>437</v>
      </c>
      <c r="E53" s="2" t="s">
        <v>476</v>
      </c>
    </row>
    <row r="54" customFormat="false" ht="15" hidden="false" customHeight="false" outlineLevel="0" collapsed="false">
      <c r="A54" s="2" t="n">
        <v>53</v>
      </c>
      <c r="B54" s="2" t="s">
        <v>477</v>
      </c>
      <c r="C54" s="2" t="s">
        <v>478</v>
      </c>
      <c r="D54" s="2" t="s">
        <v>479</v>
      </c>
      <c r="E54" s="2" t="s">
        <v>480</v>
      </c>
    </row>
    <row r="55" customFormat="false" ht="15" hidden="false" customHeight="false" outlineLevel="0" collapsed="false">
      <c r="A55" s="2" t="n">
        <v>54</v>
      </c>
      <c r="B55" s="2" t="s">
        <v>481</v>
      </c>
      <c r="C55" s="2" t="s">
        <v>482</v>
      </c>
      <c r="D55" s="2" t="s">
        <v>483</v>
      </c>
      <c r="E55" s="2" t="s">
        <v>484</v>
      </c>
    </row>
    <row r="56" customFormat="false" ht="15" hidden="false" customHeight="false" outlineLevel="0" collapsed="false">
      <c r="A56" s="2" t="n">
        <v>55</v>
      </c>
      <c r="B56" s="2" t="s">
        <v>485</v>
      </c>
      <c r="C56" s="2" t="s">
        <v>486</v>
      </c>
      <c r="D56" s="2" t="s">
        <v>487</v>
      </c>
      <c r="E56" s="2" t="s">
        <v>488</v>
      </c>
    </row>
    <row r="57" customFormat="false" ht="15" hidden="false" customHeight="false" outlineLevel="0" collapsed="false">
      <c r="A57" s="2" t="n">
        <v>56</v>
      </c>
      <c r="B57" s="2" t="s">
        <v>293</v>
      </c>
      <c r="C57" s="2" t="s">
        <v>489</v>
      </c>
      <c r="D57" s="2" t="s">
        <v>490</v>
      </c>
      <c r="E57" s="2" t="s">
        <v>491</v>
      </c>
    </row>
    <row r="58" customFormat="false" ht="15" hidden="false" customHeight="false" outlineLevel="0" collapsed="false">
      <c r="A58" s="2" t="n">
        <v>57</v>
      </c>
      <c r="B58" s="2" t="s">
        <v>293</v>
      </c>
      <c r="C58" s="2" t="s">
        <v>492</v>
      </c>
      <c r="D58" s="2" t="s">
        <v>441</v>
      </c>
      <c r="E58" s="2" t="s">
        <v>493</v>
      </c>
    </row>
    <row r="59" customFormat="false" ht="15" hidden="false" customHeight="false" outlineLevel="0" collapsed="false">
      <c r="A59" s="2" t="n">
        <v>58</v>
      </c>
      <c r="B59" s="2" t="s">
        <v>494</v>
      </c>
      <c r="C59" s="2" t="s">
        <v>495</v>
      </c>
      <c r="D59" s="2" t="s">
        <v>496</v>
      </c>
      <c r="E59" s="2" t="s">
        <v>497</v>
      </c>
    </row>
    <row r="60" customFormat="false" ht="15" hidden="false" customHeight="false" outlineLevel="0" collapsed="false">
      <c r="A60" s="2" t="n">
        <v>59</v>
      </c>
      <c r="B60" s="2" t="s">
        <v>494</v>
      </c>
      <c r="C60" s="2" t="s">
        <v>498</v>
      </c>
      <c r="D60" s="2" t="s">
        <v>499</v>
      </c>
      <c r="E60" s="2" t="s">
        <v>500</v>
      </c>
    </row>
    <row r="61" customFormat="false" ht="15" hidden="false" customHeight="false" outlineLevel="0" collapsed="false">
      <c r="A61" s="2" t="n">
        <v>60</v>
      </c>
      <c r="B61" s="2" t="s">
        <v>390</v>
      </c>
      <c r="C61" s="2" t="s">
        <v>501</v>
      </c>
      <c r="D61" s="2" t="s">
        <v>490</v>
      </c>
      <c r="E61" s="2" t="s">
        <v>502</v>
      </c>
    </row>
    <row r="62" customFormat="false" ht="15" hidden="false" customHeight="false" outlineLevel="0" collapsed="false">
      <c r="A62" s="2" t="n">
        <v>61</v>
      </c>
      <c r="B62" s="2" t="s">
        <v>503</v>
      </c>
      <c r="C62" s="2" t="s">
        <v>504</v>
      </c>
      <c r="D62" s="2" t="s">
        <v>505</v>
      </c>
      <c r="E62" s="2" t="s">
        <v>506</v>
      </c>
    </row>
    <row r="63" customFormat="false" ht="15" hidden="false" customHeight="false" outlineLevel="0" collapsed="false">
      <c r="A63" s="2" t="n">
        <v>62</v>
      </c>
      <c r="B63" s="2" t="s">
        <v>343</v>
      </c>
      <c r="C63" s="2" t="s">
        <v>507</v>
      </c>
      <c r="D63" s="2" t="s">
        <v>508</v>
      </c>
      <c r="E63" s="2" t="s">
        <v>509</v>
      </c>
    </row>
    <row r="64" customFormat="false" ht="15" hidden="false" customHeight="false" outlineLevel="0" collapsed="false">
      <c r="A64" s="2" t="n">
        <v>63</v>
      </c>
      <c r="B64" s="2" t="s">
        <v>351</v>
      </c>
      <c r="C64" s="2" t="s">
        <v>510</v>
      </c>
      <c r="D64" s="2" t="s">
        <v>437</v>
      </c>
      <c r="E64" s="2" t="s">
        <v>511</v>
      </c>
    </row>
    <row r="65" customFormat="false" ht="15" hidden="false" customHeight="false" outlineLevel="0" collapsed="false">
      <c r="A65" s="2" t="n">
        <v>64</v>
      </c>
      <c r="B65" s="2" t="s">
        <v>512</v>
      </c>
      <c r="C65" s="2" t="s">
        <v>513</v>
      </c>
      <c r="D65" s="2" t="s">
        <v>514</v>
      </c>
      <c r="E65" s="2" t="s">
        <v>515</v>
      </c>
    </row>
    <row r="66" customFormat="false" ht="15" hidden="false" customHeight="false" outlineLevel="0" collapsed="false">
      <c r="A66" s="2" t="n">
        <v>65</v>
      </c>
      <c r="B66" s="2" t="s">
        <v>481</v>
      </c>
      <c r="C66" s="2" t="s">
        <v>516</v>
      </c>
      <c r="D66" s="2" t="s">
        <v>517</v>
      </c>
      <c r="E66" s="2" t="s">
        <v>518</v>
      </c>
    </row>
    <row r="67" customFormat="false" ht="15" hidden="false" customHeight="false" outlineLevel="0" collapsed="false">
      <c r="A67" s="2" t="n">
        <v>66</v>
      </c>
      <c r="B67" s="2" t="s">
        <v>304</v>
      </c>
      <c r="C67" s="2" t="s">
        <v>519</v>
      </c>
      <c r="D67" s="2" t="s">
        <v>520</v>
      </c>
      <c r="E67" s="2" t="s">
        <v>521</v>
      </c>
    </row>
    <row r="68" customFormat="false" ht="15" hidden="false" customHeight="false" outlineLevel="0" collapsed="false">
      <c r="A68" s="2" t="n">
        <v>67</v>
      </c>
      <c r="B68" s="2" t="s">
        <v>522</v>
      </c>
      <c r="C68" s="2" t="s">
        <v>523</v>
      </c>
      <c r="D68" s="2" t="s">
        <v>524</v>
      </c>
      <c r="E68" s="2" t="s">
        <v>525</v>
      </c>
    </row>
    <row r="69" customFormat="false" ht="15" hidden="false" customHeight="false" outlineLevel="0" collapsed="false">
      <c r="A69" s="2" t="n">
        <v>68</v>
      </c>
      <c r="B69" s="2" t="s">
        <v>526</v>
      </c>
      <c r="C69" s="2" t="s">
        <v>527</v>
      </c>
      <c r="D69" s="2" t="s">
        <v>384</v>
      </c>
      <c r="E69" s="2" t="s">
        <v>528</v>
      </c>
    </row>
    <row r="70" customFormat="false" ht="15" hidden="false" customHeight="false" outlineLevel="0" collapsed="false">
      <c r="A70" s="2" t="n">
        <v>69</v>
      </c>
      <c r="B70" s="2" t="s">
        <v>529</v>
      </c>
      <c r="C70" s="2" t="s">
        <v>530</v>
      </c>
      <c r="D70" s="2" t="s">
        <v>531</v>
      </c>
      <c r="E70" s="2" t="s">
        <v>532</v>
      </c>
    </row>
    <row r="71" customFormat="false" ht="15" hidden="false" customHeight="false" outlineLevel="0" collapsed="false">
      <c r="A71" s="2" t="n">
        <v>70</v>
      </c>
      <c r="B71" s="2" t="s">
        <v>533</v>
      </c>
      <c r="C71" s="2" t="s">
        <v>534</v>
      </c>
      <c r="D71" s="2" t="s">
        <v>437</v>
      </c>
      <c r="E71" s="2" t="s">
        <v>535</v>
      </c>
    </row>
    <row r="72" customFormat="false" ht="15" hidden="false" customHeight="false" outlineLevel="0" collapsed="false">
      <c r="A72" s="2" t="n">
        <v>71</v>
      </c>
      <c r="B72" s="2" t="s">
        <v>536</v>
      </c>
      <c r="C72" s="2" t="s">
        <v>537</v>
      </c>
      <c r="D72" s="2" t="s">
        <v>531</v>
      </c>
      <c r="E72" s="2" t="s">
        <v>538</v>
      </c>
    </row>
    <row r="73" customFormat="false" ht="15" hidden="false" customHeight="false" outlineLevel="0" collapsed="false">
      <c r="A73" s="2" t="n">
        <v>72</v>
      </c>
      <c r="B73" s="2" t="s">
        <v>539</v>
      </c>
      <c r="C73" s="2" t="s">
        <v>540</v>
      </c>
      <c r="D73" s="2" t="s">
        <v>411</v>
      </c>
      <c r="E73" s="2" t="s">
        <v>541</v>
      </c>
    </row>
    <row r="74" customFormat="false" ht="15" hidden="false" customHeight="false" outlineLevel="0" collapsed="false">
      <c r="A74" s="2" t="n">
        <v>73</v>
      </c>
      <c r="B74" s="2" t="s">
        <v>542</v>
      </c>
      <c r="C74" s="2" t="s">
        <v>543</v>
      </c>
      <c r="D74" s="2" t="s">
        <v>384</v>
      </c>
      <c r="E74" s="2" t="s">
        <v>544</v>
      </c>
    </row>
    <row r="75" customFormat="false" ht="15" hidden="false" customHeight="false" outlineLevel="0" collapsed="false">
      <c r="A75" s="2" t="n">
        <v>74</v>
      </c>
      <c r="B75" s="2" t="s">
        <v>427</v>
      </c>
      <c r="C75" s="2" t="s">
        <v>545</v>
      </c>
      <c r="D75" s="2" t="s">
        <v>546</v>
      </c>
      <c r="E75" s="2" t="s">
        <v>547</v>
      </c>
    </row>
    <row r="76" customFormat="false" ht="15" hidden="false" customHeight="false" outlineLevel="0" collapsed="false">
      <c r="A76" s="2" t="n">
        <v>75</v>
      </c>
      <c r="B76" s="2" t="s">
        <v>427</v>
      </c>
      <c r="C76" s="2" t="s">
        <v>548</v>
      </c>
      <c r="D76" s="2" t="s">
        <v>549</v>
      </c>
      <c r="E76" s="2" t="s">
        <v>550</v>
      </c>
    </row>
    <row r="77" customFormat="false" ht="15" hidden="false" customHeight="false" outlineLevel="0" collapsed="false">
      <c r="A77" s="2" t="n">
        <v>76</v>
      </c>
      <c r="B77" s="2" t="s">
        <v>551</v>
      </c>
      <c r="C77" s="2" t="s">
        <v>552</v>
      </c>
      <c r="D77" s="2" t="s">
        <v>553</v>
      </c>
      <c r="E77" s="2" t="s">
        <v>554</v>
      </c>
    </row>
    <row r="78" customFormat="false" ht="15" hidden="false" customHeight="false" outlineLevel="0" collapsed="false">
      <c r="A78" s="2" t="n">
        <v>77</v>
      </c>
      <c r="B78" s="2" t="s">
        <v>555</v>
      </c>
      <c r="C78" s="2" t="s">
        <v>556</v>
      </c>
      <c r="D78" s="2" t="s">
        <v>531</v>
      </c>
      <c r="E78" s="2" t="s">
        <v>557</v>
      </c>
    </row>
    <row r="79" customFormat="false" ht="15" hidden="false" customHeight="false" outlineLevel="0" collapsed="false">
      <c r="A79" s="2" t="n">
        <v>78</v>
      </c>
      <c r="B79" s="2" t="s">
        <v>558</v>
      </c>
      <c r="C79" s="2" t="s">
        <v>559</v>
      </c>
      <c r="D79" s="2" t="s">
        <v>437</v>
      </c>
      <c r="E79" s="2" t="s">
        <v>560</v>
      </c>
    </row>
    <row r="80" customFormat="false" ht="15" hidden="false" customHeight="false" outlineLevel="0" collapsed="false">
      <c r="A80" s="2" t="n">
        <v>79</v>
      </c>
      <c r="B80" s="2" t="s">
        <v>485</v>
      </c>
      <c r="C80" s="2" t="s">
        <v>561</v>
      </c>
      <c r="D80" s="2" t="s">
        <v>487</v>
      </c>
      <c r="E80" s="2" t="s">
        <v>562</v>
      </c>
    </row>
    <row r="81" customFormat="false" ht="15" hidden="false" customHeight="false" outlineLevel="0" collapsed="false">
      <c r="A81" s="2" t="n">
        <v>80</v>
      </c>
      <c r="B81" s="2" t="s">
        <v>533</v>
      </c>
      <c r="C81" s="2" t="s">
        <v>563</v>
      </c>
      <c r="D81" s="2" t="s">
        <v>437</v>
      </c>
      <c r="E81" s="2" t="s">
        <v>564</v>
      </c>
    </row>
    <row r="82" customFormat="false" ht="15" hidden="false" customHeight="false" outlineLevel="0" collapsed="false">
      <c r="A82" s="2" t="n">
        <v>81</v>
      </c>
      <c r="B82" s="2" t="s">
        <v>406</v>
      </c>
      <c r="C82" s="2" t="s">
        <v>565</v>
      </c>
      <c r="D82" s="2" t="s">
        <v>404</v>
      </c>
      <c r="E82" s="2" t="s">
        <v>566</v>
      </c>
    </row>
    <row r="83" customFormat="false" ht="15" hidden="false" customHeight="false" outlineLevel="0" collapsed="false">
      <c r="A83" s="2" t="n">
        <v>82</v>
      </c>
      <c r="B83" s="2" t="s">
        <v>567</v>
      </c>
      <c r="C83" s="2" t="s">
        <v>568</v>
      </c>
      <c r="D83" s="2" t="s">
        <v>569</v>
      </c>
      <c r="E83" s="2" t="s">
        <v>570</v>
      </c>
    </row>
    <row r="84" customFormat="false" ht="15" hidden="false" customHeight="false" outlineLevel="0" collapsed="false">
      <c r="A84" s="2" t="n">
        <v>83</v>
      </c>
      <c r="B84" s="2" t="s">
        <v>567</v>
      </c>
      <c r="C84" s="2" t="s">
        <v>571</v>
      </c>
      <c r="D84" s="2" t="s">
        <v>572</v>
      </c>
      <c r="E84" s="2" t="s">
        <v>573</v>
      </c>
    </row>
    <row r="85" customFormat="false" ht="15" hidden="false" customHeight="false" outlineLevel="0" collapsed="false">
      <c r="A85" s="2" t="n">
        <v>84</v>
      </c>
      <c r="B85" s="2" t="s">
        <v>551</v>
      </c>
      <c r="C85" s="2" t="s">
        <v>574</v>
      </c>
      <c r="D85" s="2" t="s">
        <v>437</v>
      </c>
      <c r="E85" s="2" t="s">
        <v>575</v>
      </c>
    </row>
    <row r="86" customFormat="false" ht="15" hidden="false" customHeight="false" outlineLevel="0" collapsed="false">
      <c r="A86" s="2" t="n">
        <v>85</v>
      </c>
      <c r="B86" s="2" t="s">
        <v>576</v>
      </c>
      <c r="C86" s="2" t="s">
        <v>577</v>
      </c>
      <c r="D86" s="2" t="s">
        <v>578</v>
      </c>
      <c r="E86" s="2" t="s">
        <v>579</v>
      </c>
    </row>
    <row r="87" customFormat="false" ht="15" hidden="false" customHeight="false" outlineLevel="0" collapsed="false">
      <c r="A87" s="2" t="n">
        <v>86</v>
      </c>
      <c r="B87" s="2" t="s">
        <v>576</v>
      </c>
      <c r="C87" s="2" t="s">
        <v>580</v>
      </c>
      <c r="D87" s="2" t="s">
        <v>581</v>
      </c>
      <c r="E87" s="2" t="s">
        <v>582</v>
      </c>
    </row>
    <row r="88" customFormat="false" ht="15" hidden="false" customHeight="false" outlineLevel="0" collapsed="false">
      <c r="A88" s="2" t="n">
        <v>87</v>
      </c>
      <c r="B88" s="2" t="s">
        <v>583</v>
      </c>
      <c r="C88" s="2" t="s">
        <v>584</v>
      </c>
      <c r="D88" s="2" t="s">
        <v>546</v>
      </c>
      <c r="E88" s="2" t="s">
        <v>585</v>
      </c>
    </row>
    <row r="89" customFormat="false" ht="15" hidden="false" customHeight="false" outlineLevel="0" collapsed="false">
      <c r="A89" s="2" t="n">
        <v>88</v>
      </c>
      <c r="B89" s="2" t="s">
        <v>576</v>
      </c>
      <c r="C89" s="2" t="s">
        <v>586</v>
      </c>
      <c r="D89" s="2" t="s">
        <v>587</v>
      </c>
      <c r="E89" s="2" t="s">
        <v>588</v>
      </c>
    </row>
    <row r="90" customFormat="false" ht="15" hidden="false" customHeight="false" outlineLevel="0" collapsed="false">
      <c r="A90" s="2" t="n">
        <v>89</v>
      </c>
      <c r="B90" s="2" t="s">
        <v>589</v>
      </c>
      <c r="C90" s="2" t="s">
        <v>590</v>
      </c>
      <c r="D90" s="2" t="s">
        <v>591</v>
      </c>
      <c r="E90" s="2" t="s">
        <v>592</v>
      </c>
    </row>
    <row r="91" customFormat="false" ht="15" hidden="false" customHeight="false" outlineLevel="0" collapsed="false">
      <c r="A91" s="2" t="n">
        <v>90</v>
      </c>
      <c r="B91" s="2" t="s">
        <v>593</v>
      </c>
      <c r="C91" s="2" t="s">
        <v>594</v>
      </c>
      <c r="D91" s="2" t="s">
        <v>595</v>
      </c>
      <c r="E91" s="2" t="s">
        <v>596</v>
      </c>
    </row>
    <row r="92" customFormat="false" ht="15" hidden="false" customHeight="false" outlineLevel="0" collapsed="false">
      <c r="A92" s="2" t="n">
        <v>91</v>
      </c>
      <c r="B92" s="2" t="s">
        <v>597</v>
      </c>
      <c r="C92" s="2" t="s">
        <v>598</v>
      </c>
      <c r="D92" s="2" t="s">
        <v>445</v>
      </c>
      <c r="E92" s="2" t="s">
        <v>599</v>
      </c>
    </row>
    <row r="93" customFormat="false" ht="15" hidden="false" customHeight="false" outlineLevel="0" collapsed="false">
      <c r="A93" s="2" t="n">
        <v>92</v>
      </c>
      <c r="B93" s="2" t="s">
        <v>600</v>
      </c>
      <c r="C93" s="2" t="s">
        <v>601</v>
      </c>
      <c r="D93" s="2" t="s">
        <v>602</v>
      </c>
      <c r="E93" s="2" t="s">
        <v>603</v>
      </c>
    </row>
    <row r="94" customFormat="false" ht="15" hidden="false" customHeight="false" outlineLevel="0" collapsed="false">
      <c r="A94" s="2" t="n">
        <v>93</v>
      </c>
      <c r="B94" s="2" t="s">
        <v>604</v>
      </c>
      <c r="C94" s="2" t="s">
        <v>605</v>
      </c>
      <c r="D94" s="2" t="s">
        <v>606</v>
      </c>
      <c r="E94" s="2" t="s">
        <v>607</v>
      </c>
    </row>
    <row r="95" customFormat="false" ht="15" hidden="false" customHeight="false" outlineLevel="0" collapsed="false">
      <c r="A95" s="2" t="n">
        <v>94</v>
      </c>
      <c r="B95" s="2" t="s">
        <v>359</v>
      </c>
      <c r="C95" s="2" t="s">
        <v>608</v>
      </c>
      <c r="D95" s="2" t="s">
        <v>609</v>
      </c>
      <c r="E95" s="2" t="s">
        <v>610</v>
      </c>
    </row>
    <row r="96" customFormat="false" ht="15" hidden="false" customHeight="false" outlineLevel="0" collapsed="false">
      <c r="A96" s="2" t="n">
        <v>95</v>
      </c>
      <c r="B96" s="2" t="s">
        <v>308</v>
      </c>
      <c r="C96" s="2" t="s">
        <v>611</v>
      </c>
      <c r="D96" s="2" t="s">
        <v>418</v>
      </c>
      <c r="E96" s="2" t="s">
        <v>612</v>
      </c>
    </row>
    <row r="97" customFormat="false" ht="15" hidden="false" customHeight="false" outlineLevel="0" collapsed="false">
      <c r="A97" s="2" t="n">
        <v>96</v>
      </c>
      <c r="B97" s="2" t="s">
        <v>304</v>
      </c>
      <c r="C97" s="2" t="s">
        <v>613</v>
      </c>
      <c r="D97" s="2" t="s">
        <v>614</v>
      </c>
      <c r="E97" s="2" t="s">
        <v>615</v>
      </c>
    </row>
    <row r="98" customFormat="false" ht="15" hidden="false" customHeight="false" outlineLevel="0" collapsed="false">
      <c r="A98" s="2" t="n">
        <v>97</v>
      </c>
      <c r="B98" s="2" t="s">
        <v>616</v>
      </c>
      <c r="C98" s="2" t="s">
        <v>617</v>
      </c>
      <c r="D98" s="2" t="s">
        <v>479</v>
      </c>
      <c r="E98" s="2" t="s">
        <v>618</v>
      </c>
    </row>
    <row r="99" customFormat="false" ht="15" hidden="false" customHeight="false" outlineLevel="0" collapsed="false">
      <c r="A99" s="2" t="n">
        <v>98</v>
      </c>
      <c r="B99" s="2" t="s">
        <v>576</v>
      </c>
      <c r="C99" s="2" t="s">
        <v>619</v>
      </c>
      <c r="D99" s="2" t="s">
        <v>437</v>
      </c>
      <c r="E99" s="2" t="s">
        <v>620</v>
      </c>
    </row>
    <row r="100" customFormat="false" ht="15" hidden="false" customHeight="false" outlineLevel="0" collapsed="false">
      <c r="A100" s="2" t="n">
        <v>99</v>
      </c>
      <c r="B100" s="2" t="s">
        <v>576</v>
      </c>
      <c r="C100" s="2" t="s">
        <v>621</v>
      </c>
      <c r="D100" s="2" t="s">
        <v>546</v>
      </c>
      <c r="E100" s="2" t="s">
        <v>622</v>
      </c>
    </row>
    <row r="101" customFormat="false" ht="15" hidden="false" customHeight="false" outlineLevel="0" collapsed="false">
      <c r="A101" s="2" t="n">
        <v>100</v>
      </c>
      <c r="B101" s="2" t="s">
        <v>623</v>
      </c>
      <c r="C101" s="2" t="s">
        <v>624</v>
      </c>
      <c r="D101" s="2" t="s">
        <v>625</v>
      </c>
      <c r="E101" s="2" t="s">
        <v>626</v>
      </c>
    </row>
    <row r="102" customFormat="false" ht="15" hidden="false" customHeight="false" outlineLevel="0" collapsed="false">
      <c r="A102" s="2" t="n">
        <v>101</v>
      </c>
      <c r="B102" s="2" t="s">
        <v>308</v>
      </c>
      <c r="C102" s="2" t="s">
        <v>627</v>
      </c>
      <c r="D102" s="2" t="s">
        <v>628</v>
      </c>
      <c r="E102" s="2" t="s">
        <v>629</v>
      </c>
    </row>
    <row r="103" customFormat="false" ht="15" hidden="false" customHeight="false" outlineLevel="0" collapsed="false">
      <c r="A103" s="2" t="n">
        <v>102</v>
      </c>
      <c r="B103" s="2" t="s">
        <v>308</v>
      </c>
      <c r="C103" s="2" t="s">
        <v>630</v>
      </c>
      <c r="D103" s="2" t="s">
        <v>631</v>
      </c>
      <c r="E103" s="2" t="s">
        <v>632</v>
      </c>
    </row>
    <row r="104" customFormat="false" ht="15" hidden="false" customHeight="false" outlineLevel="0" collapsed="false">
      <c r="A104" s="2" t="n">
        <v>103</v>
      </c>
      <c r="B104" s="2" t="s">
        <v>633</v>
      </c>
      <c r="C104" s="2" t="s">
        <v>634</v>
      </c>
      <c r="D104" s="2" t="s">
        <v>437</v>
      </c>
      <c r="E104" s="2" t="s">
        <v>635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2026-10-05T18:26:41Z</dcterms:created>
  <dc:creator>openpyxl</dc:creator>
  <dc:description/>
  <dc:language>en-US</dc:language>
  <cp:lastModifiedBy/>
  <dcterms:modified xsi:type="dcterms:W3CDTF">2026-10-05T18:26:41Z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